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indaDesk2\Google Drive\2019\"/>
    </mc:Choice>
  </mc:AlternateContent>
  <bookViews>
    <workbookView xWindow="-120" yWindow="-120" windowWidth="29040" windowHeight="15840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externalReferences>
    <externalReference r:id="rId17"/>
    <externalReference r:id="rId18"/>
    <externalReference r:id="rId19"/>
  </externalReference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D_YPATINGOJIVEIKLA" localSheetId="11">'Forma 2'!$B$93</definedName>
    <definedName name="VAS002_D_YPATINGOJIVEIKLA">'Forma 2'!$B$93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2_F_YPATINGOJIVEIKLA20M" localSheetId="11">'Forma 2'!$C$93</definedName>
    <definedName name="VAS002_F_YPATINGOJIVEIKLA20M">'Forma 2'!$C$93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reziniuoseInstaliuotuSiurbliu" localSheetId="2">'Forma 5'!$B$34</definedName>
    <definedName name="VAS005_D_GreziniuoseInstaliuotuSiurbliu">'Forma 5'!$B$34</definedName>
    <definedName name="VAS005_D_GYVENTOJUSKAICIUSAPTARNAUJAMOJE" localSheetId="2">'Forma 5'!$B$203</definedName>
    <definedName name="VAS005_D_GYVENTOJUSKAICIUSAPTARNAUJAMOJE">'Forma 5'!$B$203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tiekyjeLikviduotuAvariju" localSheetId="2">'Forma 5'!$B$79</definedName>
    <definedName name="VAS005_D_VandentiekyjeLikviduotuAvariju">'Forma 5'!$B$79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reziniuoseInstaliuotuSiurbliu20M" localSheetId="2">'Forma 5'!$D$34</definedName>
    <definedName name="VAS005_F_GreziniuoseInstaliuotuSiurbliu20M">'Forma 5'!$D$34</definedName>
    <definedName name="VAS005_F_GYVENTOJUSKAICIUSAPTARNAUJAMOJE20M" localSheetId="2">'Forma 5'!$D$203</definedName>
    <definedName name="VAS005_F_GYVENTOJUSKAICIUSAPTARNAUJAMOJE20M">'Forma 5'!$D$203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tiekyjeLikviduotuAvariju20M" localSheetId="2">'Forma 5'!$D$79</definedName>
    <definedName name="VAS005_F_VandentiekyjeLikviduotuAvariju20M">'Forma 5'!$D$79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" i="16" l="1"/>
  <c r="E99" i="16"/>
  <c r="C123" i="5" l="1"/>
  <c r="C121" i="5" l="1"/>
  <c r="C148" i="5"/>
  <c r="C135" i="5"/>
  <c r="C84" i="5" l="1"/>
  <c r="C52" i="5"/>
  <c r="C116" i="5"/>
  <c r="C13" i="5"/>
  <c r="F42" i="6"/>
  <c r="D42" i="6"/>
  <c r="Q41" i="6"/>
  <c r="O41" i="6"/>
  <c r="M41" i="6"/>
  <c r="K41" i="6"/>
  <c r="I41" i="6"/>
  <c r="E41" i="6"/>
  <c r="C41" i="6"/>
  <c r="Q37" i="6"/>
  <c r="O37" i="6"/>
  <c r="M37" i="6"/>
  <c r="K37" i="6"/>
  <c r="I37" i="6"/>
  <c r="E37" i="6"/>
  <c r="C37" i="6"/>
  <c r="P27" i="6"/>
  <c r="N27" i="6"/>
  <c r="L27" i="6"/>
  <c r="J27" i="6"/>
  <c r="F27" i="6"/>
  <c r="D27" i="6"/>
  <c r="N26" i="6"/>
  <c r="L26" i="6"/>
  <c r="J26" i="6"/>
  <c r="F26" i="6"/>
  <c r="D26" i="6"/>
  <c r="N22" i="6"/>
  <c r="L22" i="6"/>
  <c r="J22" i="6"/>
  <c r="H22" i="6"/>
  <c r="F22" i="6"/>
  <c r="D22" i="6"/>
  <c r="Q37" i="7"/>
  <c r="O37" i="7"/>
  <c r="M37" i="7"/>
  <c r="K37" i="7"/>
  <c r="I37" i="7"/>
  <c r="E37" i="7"/>
  <c r="C37" i="7"/>
  <c r="Q41" i="7"/>
  <c r="O41" i="7"/>
  <c r="M41" i="7"/>
  <c r="K41" i="7"/>
  <c r="I41" i="7"/>
  <c r="E41" i="7"/>
  <c r="C41" i="7"/>
  <c r="R42" i="7"/>
  <c r="P42" i="7"/>
  <c r="N42" i="7"/>
  <c r="L42" i="7"/>
  <c r="J42" i="7"/>
  <c r="F42" i="7"/>
  <c r="D42" i="7"/>
  <c r="N27" i="7"/>
  <c r="L27" i="7"/>
  <c r="J27" i="7"/>
  <c r="F27" i="7"/>
  <c r="D27" i="7"/>
  <c r="N26" i="7"/>
  <c r="L26" i="7"/>
  <c r="J26" i="7"/>
  <c r="H26" i="7"/>
  <c r="F26" i="7"/>
  <c r="D26" i="7"/>
  <c r="N22" i="7"/>
  <c r="L22" i="7"/>
  <c r="J22" i="7"/>
  <c r="H22" i="7"/>
  <c r="F22" i="7"/>
  <c r="D22" i="7"/>
  <c r="P27" i="7"/>
  <c r="C28" i="2" l="1"/>
  <c r="C30" i="2"/>
  <c r="C29" i="2"/>
  <c r="C27" i="2"/>
  <c r="C26" i="2"/>
  <c r="C25" i="2"/>
  <c r="C24" i="2"/>
  <c r="C23" i="2"/>
  <c r="C22" i="2"/>
  <c r="C21" i="2"/>
  <c r="C78" i="2" l="1"/>
  <c r="C79" i="2"/>
  <c r="C106" i="2"/>
  <c r="C108" i="2"/>
  <c r="C107" i="2"/>
  <c r="C103" i="2"/>
  <c r="C104" i="2"/>
  <c r="C105" i="2"/>
  <c r="C102" i="2"/>
  <c r="C101" i="2"/>
  <c r="C100" i="2"/>
  <c r="C99" i="2"/>
  <c r="C98" i="2"/>
  <c r="C94" i="2"/>
  <c r="C95" i="2"/>
  <c r="C96" i="2"/>
  <c r="C93" i="2"/>
  <c r="C92" i="2"/>
  <c r="C91" i="2"/>
  <c r="C90" i="2"/>
  <c r="C89" i="2"/>
  <c r="C86" i="2"/>
  <c r="C85" i="2"/>
  <c r="C84" i="2"/>
  <c r="C82" i="2"/>
  <c r="C81" i="2"/>
  <c r="C76" i="2"/>
  <c r="C75" i="2"/>
  <c r="C74" i="2"/>
  <c r="C72" i="2"/>
  <c r="C71" i="2"/>
  <c r="C70" i="2"/>
  <c r="C69" i="2"/>
  <c r="C68" i="2"/>
  <c r="C48" i="2"/>
  <c r="C54" i="2"/>
  <c r="C64" i="2"/>
  <c r="C63" i="2"/>
  <c r="C59" i="2"/>
  <c r="C62" i="2"/>
  <c r="C61" i="2"/>
  <c r="C58" i="2"/>
  <c r="C57" i="2"/>
  <c r="C56" i="2"/>
  <c r="C50" i="2"/>
  <c r="C51" i="2"/>
  <c r="C52" i="2"/>
  <c r="C53" i="2"/>
  <c r="C49" i="2"/>
  <c r="C44" i="2"/>
  <c r="C45" i="2"/>
  <c r="C43" i="2"/>
  <c r="C41" i="2"/>
  <c r="C34" i="2"/>
  <c r="C35" i="2"/>
  <c r="C36" i="2"/>
  <c r="C37" i="2"/>
  <c r="C38" i="2"/>
  <c r="C39" i="2"/>
  <c r="C40" i="2"/>
  <c r="C33" i="2"/>
  <c r="C31" i="2"/>
  <c r="C19" i="2"/>
  <c r="C18" i="2"/>
  <c r="C17" i="2"/>
  <c r="C16" i="2"/>
  <c r="C15" i="2"/>
  <c r="C14" i="2"/>
  <c r="C13" i="2"/>
  <c r="E97" i="16"/>
  <c r="E93" i="16"/>
  <c r="J97" i="16"/>
  <c r="F65" i="16"/>
  <c r="K65" i="16" s="1"/>
  <c r="F63" i="16"/>
  <c r="K63" i="16" s="1"/>
  <c r="F62" i="16"/>
  <c r="K62" i="16" s="1"/>
  <c r="F61" i="16"/>
  <c r="K61" i="16" s="1"/>
  <c r="F60" i="16"/>
  <c r="K60" i="16" s="1"/>
  <c r="C268" i="11" l="1"/>
  <c r="D30" i="15" l="1"/>
  <c r="D29" i="15"/>
  <c r="D28" i="15"/>
  <c r="D27" i="15"/>
  <c r="D26" i="15"/>
  <c r="D25" i="15"/>
  <c r="D23" i="15"/>
  <c r="D22" i="15"/>
  <c r="D21" i="15"/>
  <c r="D20" i="15"/>
  <c r="D19" i="15"/>
  <c r="D18" i="15"/>
  <c r="D16" i="15"/>
  <c r="D15" i="15"/>
  <c r="D14" i="15"/>
  <c r="D13" i="15"/>
  <c r="D11" i="15"/>
  <c r="C23" i="13" l="1"/>
  <c r="C13" i="13"/>
  <c r="C42" i="13"/>
  <c r="D39" i="10"/>
  <c r="D36" i="10" l="1"/>
  <c r="D25" i="10"/>
  <c r="D31" i="9"/>
  <c r="D30" i="9"/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W130" i="16"/>
  <c r="T130" i="16"/>
  <c r="R130" i="16"/>
  <c r="Q130" i="16"/>
  <c r="L130" i="16"/>
  <c r="U130" i="16" s="1"/>
  <c r="G130" i="16"/>
  <c r="T129" i="16"/>
  <c r="W129" i="16" s="1"/>
  <c r="R129" i="16"/>
  <c r="Q129" i="16"/>
  <c r="L129" i="16"/>
  <c r="G129" i="16"/>
  <c r="U129" i="16" s="1"/>
  <c r="T128" i="16"/>
  <c r="R128" i="16"/>
  <c r="Q128" i="16"/>
  <c r="L128" i="16"/>
  <c r="G128" i="16"/>
  <c r="U128" i="16" s="1"/>
  <c r="T127" i="16"/>
  <c r="W127" i="16" s="1"/>
  <c r="R127" i="16"/>
  <c r="Q127" i="16"/>
  <c r="L127" i="16"/>
  <c r="G127" i="16"/>
  <c r="U127" i="16" s="1"/>
  <c r="T126" i="16"/>
  <c r="R126" i="16"/>
  <c r="W126" i="16" s="1"/>
  <c r="Q126" i="16"/>
  <c r="L126" i="16"/>
  <c r="U126" i="16" s="1"/>
  <c r="G126" i="16"/>
  <c r="T125" i="16"/>
  <c r="W125" i="16" s="1"/>
  <c r="R125" i="16"/>
  <c r="Q125" i="16"/>
  <c r="L125" i="16"/>
  <c r="G125" i="16"/>
  <c r="U125" i="16" s="1"/>
  <c r="T124" i="16"/>
  <c r="W124" i="16" s="1"/>
  <c r="R124" i="16"/>
  <c r="Q124" i="16"/>
  <c r="L124" i="16"/>
  <c r="U124" i="16" s="1"/>
  <c r="G124" i="16"/>
  <c r="T123" i="16"/>
  <c r="R123" i="16"/>
  <c r="Q123" i="16"/>
  <c r="L123" i="16"/>
  <c r="G123" i="16"/>
  <c r="W122" i="16"/>
  <c r="T122" i="16"/>
  <c r="R122" i="16"/>
  <c r="Q122" i="16"/>
  <c r="L122" i="16"/>
  <c r="G122" i="16"/>
  <c r="T121" i="16"/>
  <c r="W121" i="16" s="1"/>
  <c r="R121" i="16"/>
  <c r="Q121" i="16"/>
  <c r="L121" i="16"/>
  <c r="G121" i="16"/>
  <c r="T120" i="16"/>
  <c r="R120" i="16"/>
  <c r="Q120" i="16"/>
  <c r="L120" i="16"/>
  <c r="G120" i="16"/>
  <c r="U120" i="16" s="1"/>
  <c r="T119" i="16"/>
  <c r="W119" i="16" s="1"/>
  <c r="R119" i="16"/>
  <c r="Q119" i="16"/>
  <c r="L119" i="16"/>
  <c r="G119" i="16"/>
  <c r="U119" i="16" s="1"/>
  <c r="T118" i="16"/>
  <c r="R118" i="16"/>
  <c r="W118" i="16" s="1"/>
  <c r="Q118" i="16"/>
  <c r="L118" i="16"/>
  <c r="U118" i="16" s="1"/>
  <c r="G118" i="16"/>
  <c r="T117" i="16"/>
  <c r="W117" i="16" s="1"/>
  <c r="R117" i="16"/>
  <c r="Q117" i="16"/>
  <c r="L117" i="16"/>
  <c r="G117" i="16"/>
  <c r="U117" i="16" s="1"/>
  <c r="T116" i="16"/>
  <c r="W116" i="16" s="1"/>
  <c r="R116" i="16"/>
  <c r="Q116" i="16"/>
  <c r="L116" i="16"/>
  <c r="U116" i="16" s="1"/>
  <c r="G116" i="16"/>
  <c r="T115" i="16"/>
  <c r="R115" i="16"/>
  <c r="Q115" i="16"/>
  <c r="L115" i="16"/>
  <c r="G115" i="16"/>
  <c r="W114" i="16"/>
  <c r="T114" i="16"/>
  <c r="R114" i="16"/>
  <c r="Q114" i="16"/>
  <c r="L114" i="16"/>
  <c r="U114" i="16" s="1"/>
  <c r="G114" i="16"/>
  <c r="T113" i="16"/>
  <c r="W113" i="16" s="1"/>
  <c r="R113" i="16"/>
  <c r="Q113" i="16"/>
  <c r="L113" i="16"/>
  <c r="U113" i="16" s="1"/>
  <c r="G113" i="16"/>
  <c r="T112" i="16"/>
  <c r="R112" i="16"/>
  <c r="Q112" i="16"/>
  <c r="L112" i="16"/>
  <c r="G112" i="16"/>
  <c r="U112" i="16" s="1"/>
  <c r="T111" i="16"/>
  <c r="W111" i="16" s="1"/>
  <c r="R111" i="16"/>
  <c r="Q111" i="16"/>
  <c r="L111" i="16"/>
  <c r="G111" i="16"/>
  <c r="U111" i="16" s="1"/>
  <c r="T110" i="16"/>
  <c r="R110" i="16"/>
  <c r="W110" i="16" s="1"/>
  <c r="Q110" i="16"/>
  <c r="L110" i="16"/>
  <c r="U110" i="16" s="1"/>
  <c r="G110" i="16"/>
  <c r="T109" i="16"/>
  <c r="W109" i="16" s="1"/>
  <c r="R109" i="16"/>
  <c r="Q109" i="16"/>
  <c r="L109" i="16"/>
  <c r="G109" i="16"/>
  <c r="U109" i="16" s="1"/>
  <c r="T108" i="16"/>
  <c r="W108" i="16" s="1"/>
  <c r="R108" i="16"/>
  <c r="Q108" i="16"/>
  <c r="L108" i="16"/>
  <c r="U108" i="16" s="1"/>
  <c r="G108" i="16"/>
  <c r="T107" i="16"/>
  <c r="R107" i="16"/>
  <c r="Q107" i="16"/>
  <c r="L107" i="16"/>
  <c r="G107" i="16"/>
  <c r="W106" i="16"/>
  <c r="T106" i="16"/>
  <c r="R106" i="16"/>
  <c r="Q106" i="16"/>
  <c r="L106" i="16"/>
  <c r="U106" i="16" s="1"/>
  <c r="G106" i="16"/>
  <c r="T105" i="16"/>
  <c r="W105" i="16" s="1"/>
  <c r="R105" i="16"/>
  <c r="Q105" i="16"/>
  <c r="L105" i="16"/>
  <c r="U105" i="16" s="1"/>
  <c r="G105" i="16"/>
  <c r="T104" i="16"/>
  <c r="R104" i="16"/>
  <c r="Q104" i="16"/>
  <c r="L104" i="16"/>
  <c r="G104" i="16"/>
  <c r="U104" i="16" s="1"/>
  <c r="T103" i="16"/>
  <c r="W103" i="16" s="1"/>
  <c r="R103" i="16"/>
  <c r="Q103" i="16"/>
  <c r="L103" i="16"/>
  <c r="G103" i="16"/>
  <c r="U103" i="16" s="1"/>
  <c r="T102" i="16"/>
  <c r="R102" i="16"/>
  <c r="W102" i="16" s="1"/>
  <c r="Q102" i="16"/>
  <c r="L102" i="16"/>
  <c r="U102" i="16" s="1"/>
  <c r="G102" i="16"/>
  <c r="T101" i="16"/>
  <c r="W101" i="16" s="1"/>
  <c r="R101" i="16"/>
  <c r="Q101" i="16"/>
  <c r="L101" i="16"/>
  <c r="G101" i="16"/>
  <c r="U101" i="16" s="1"/>
  <c r="T100" i="16"/>
  <c r="R100" i="16"/>
  <c r="Q100" i="16"/>
  <c r="L100" i="16"/>
  <c r="U100" i="16" s="1"/>
  <c r="G100" i="16"/>
  <c r="T99" i="16"/>
  <c r="R99" i="16"/>
  <c r="Q99" i="16"/>
  <c r="L99" i="16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T95" i="16"/>
  <c r="R95" i="16"/>
  <c r="Q95" i="16"/>
  <c r="L95" i="16"/>
  <c r="G95" i="16"/>
  <c r="U95" i="16" s="1"/>
  <c r="T94" i="16"/>
  <c r="R94" i="16"/>
  <c r="Q94" i="16"/>
  <c r="L94" i="16"/>
  <c r="G94" i="16"/>
  <c r="T93" i="16"/>
  <c r="R93" i="16"/>
  <c r="Q93" i="16"/>
  <c r="L93" i="16"/>
  <c r="G93" i="16"/>
  <c r="U93" i="16" s="1"/>
  <c r="T92" i="16"/>
  <c r="R92" i="16"/>
  <c r="Q92" i="16"/>
  <c r="L92" i="16"/>
  <c r="G92" i="16"/>
  <c r="T91" i="16"/>
  <c r="R91" i="16"/>
  <c r="Q91" i="16"/>
  <c r="L91" i="16"/>
  <c r="G91" i="16"/>
  <c r="P90" i="16"/>
  <c r="O90" i="16"/>
  <c r="N90" i="16"/>
  <c r="M90" i="16"/>
  <c r="K90" i="16"/>
  <c r="J90" i="16"/>
  <c r="I90" i="16"/>
  <c r="I58" i="16" s="1"/>
  <c r="H90" i="16"/>
  <c r="H58" i="16" s="1"/>
  <c r="F90" i="16"/>
  <c r="E90" i="16"/>
  <c r="E58" i="16" s="1"/>
  <c r="D90" i="16"/>
  <c r="D58" i="16" s="1"/>
  <c r="C90" i="16"/>
  <c r="T89" i="16"/>
  <c r="W89" i="16" s="1"/>
  <c r="R89" i="16"/>
  <c r="Q89" i="16"/>
  <c r="L89" i="16"/>
  <c r="G89" i="16"/>
  <c r="U89" i="16" s="1"/>
  <c r="T88" i="16"/>
  <c r="W88" i="16" s="1"/>
  <c r="R88" i="16"/>
  <c r="Q88" i="16"/>
  <c r="L88" i="16"/>
  <c r="G88" i="16"/>
  <c r="U88" i="16" s="1"/>
  <c r="T87" i="16"/>
  <c r="W87" i="16" s="1"/>
  <c r="R87" i="16"/>
  <c r="Q87" i="16"/>
  <c r="L87" i="16"/>
  <c r="G87" i="16"/>
  <c r="U87" i="16" s="1"/>
  <c r="T86" i="16"/>
  <c r="R86" i="16"/>
  <c r="W86" i="16" s="1"/>
  <c r="Q86" i="16"/>
  <c r="L86" i="16"/>
  <c r="G86" i="16"/>
  <c r="W85" i="16"/>
  <c r="T85" i="16"/>
  <c r="R85" i="16"/>
  <c r="Q85" i="16"/>
  <c r="L85" i="16"/>
  <c r="G85" i="16"/>
  <c r="T84" i="16"/>
  <c r="R84" i="16"/>
  <c r="Q84" i="16"/>
  <c r="L84" i="16"/>
  <c r="G84" i="16"/>
  <c r="U84" i="16" s="1"/>
  <c r="W83" i="16"/>
  <c r="T83" i="16"/>
  <c r="R83" i="16"/>
  <c r="Q83" i="16"/>
  <c r="L83" i="16"/>
  <c r="G83" i="16"/>
  <c r="U83" i="16" s="1"/>
  <c r="T82" i="16"/>
  <c r="R82" i="16"/>
  <c r="W82" i="16" s="1"/>
  <c r="Q82" i="16"/>
  <c r="L82" i="16"/>
  <c r="U82" i="16" s="1"/>
  <c r="G82" i="16"/>
  <c r="T81" i="16"/>
  <c r="W81" i="16" s="1"/>
  <c r="R81" i="16"/>
  <c r="Q81" i="16"/>
  <c r="L81" i="16"/>
  <c r="G81" i="16"/>
  <c r="U81" i="16" s="1"/>
  <c r="T80" i="16"/>
  <c r="W80" i="16" s="1"/>
  <c r="R80" i="16"/>
  <c r="Q80" i="16"/>
  <c r="L80" i="16"/>
  <c r="G80" i="16"/>
  <c r="U80" i="16" s="1"/>
  <c r="T79" i="16"/>
  <c r="R79" i="16"/>
  <c r="Q79" i="16"/>
  <c r="L79" i="16"/>
  <c r="G79" i="16"/>
  <c r="U79" i="16" s="1"/>
  <c r="W78" i="16"/>
  <c r="T78" i="16"/>
  <c r="R78" i="16"/>
  <c r="Q78" i="16"/>
  <c r="L78" i="16"/>
  <c r="U78" i="16" s="1"/>
  <c r="G78" i="16"/>
  <c r="W77" i="16"/>
  <c r="T77" i="16"/>
  <c r="R77" i="16"/>
  <c r="Q77" i="16"/>
  <c r="L77" i="16"/>
  <c r="U77" i="16" s="1"/>
  <c r="G77" i="16"/>
  <c r="T76" i="16"/>
  <c r="R76" i="16"/>
  <c r="Q76" i="16"/>
  <c r="L76" i="16"/>
  <c r="G76" i="16"/>
  <c r="U76" i="16" s="1"/>
  <c r="W75" i="16"/>
  <c r="T75" i="16"/>
  <c r="R75" i="16"/>
  <c r="Q75" i="16"/>
  <c r="L75" i="16"/>
  <c r="G75" i="16"/>
  <c r="U75" i="16" s="1"/>
  <c r="T74" i="16"/>
  <c r="R74" i="16"/>
  <c r="W74" i="16" s="1"/>
  <c r="Q74" i="16"/>
  <c r="L74" i="16"/>
  <c r="U74" i="16" s="1"/>
  <c r="G74" i="16"/>
  <c r="W73" i="16"/>
  <c r="T73" i="16"/>
  <c r="R73" i="16"/>
  <c r="Q73" i="16"/>
  <c r="L73" i="16"/>
  <c r="G73" i="16"/>
  <c r="U73" i="16" s="1"/>
  <c r="T72" i="16"/>
  <c r="W72" i="16" s="1"/>
  <c r="R72" i="16"/>
  <c r="Q72" i="16"/>
  <c r="L72" i="16"/>
  <c r="G72" i="16"/>
  <c r="U72" i="16" s="1"/>
  <c r="T71" i="16"/>
  <c r="W71" i="16" s="1"/>
  <c r="R71" i="16"/>
  <c r="Q71" i="16"/>
  <c r="L71" i="16"/>
  <c r="G71" i="16"/>
  <c r="U71" i="16" s="1"/>
  <c r="W70" i="16"/>
  <c r="T70" i="16"/>
  <c r="R70" i="16"/>
  <c r="Q70" i="16"/>
  <c r="L70" i="16"/>
  <c r="G70" i="16"/>
  <c r="T69" i="16"/>
  <c r="R69" i="16"/>
  <c r="W69" i="16" s="1"/>
  <c r="Q69" i="16"/>
  <c r="L69" i="16"/>
  <c r="U69" i="16" s="1"/>
  <c r="G69" i="16"/>
  <c r="T68" i="16"/>
  <c r="R68" i="16"/>
  <c r="Q68" i="16"/>
  <c r="L68" i="16"/>
  <c r="G68" i="16"/>
  <c r="U68" i="16" s="1"/>
  <c r="T67" i="16"/>
  <c r="R67" i="16"/>
  <c r="Q67" i="16"/>
  <c r="L67" i="16"/>
  <c r="G67" i="16"/>
  <c r="U67" i="16" s="1"/>
  <c r="T66" i="16"/>
  <c r="R66" i="16"/>
  <c r="W66" i="16" s="1"/>
  <c r="Q66" i="16"/>
  <c r="L66" i="16"/>
  <c r="U66" i="16" s="1"/>
  <c r="G66" i="16"/>
  <c r="T65" i="16"/>
  <c r="R65" i="16"/>
  <c r="W65" i="16" s="1"/>
  <c r="Q65" i="16"/>
  <c r="L65" i="16"/>
  <c r="G65" i="16"/>
  <c r="T64" i="16"/>
  <c r="R64" i="16"/>
  <c r="Q64" i="16"/>
  <c r="L64" i="16"/>
  <c r="G64" i="16"/>
  <c r="U64" i="16" s="1"/>
  <c r="T63" i="16"/>
  <c r="R63" i="16"/>
  <c r="Q63" i="16"/>
  <c r="L63" i="16"/>
  <c r="G63" i="16"/>
  <c r="T62" i="16"/>
  <c r="R62" i="16"/>
  <c r="W62" i="16" s="1"/>
  <c r="Q62" i="16"/>
  <c r="L62" i="16"/>
  <c r="G62" i="16"/>
  <c r="T61" i="16"/>
  <c r="R61" i="16"/>
  <c r="W61" i="16" s="1"/>
  <c r="Q61" i="16"/>
  <c r="L61" i="16"/>
  <c r="G61" i="16"/>
  <c r="T60" i="16"/>
  <c r="R60" i="16"/>
  <c r="Q60" i="16"/>
  <c r="L60" i="16"/>
  <c r="G60" i="16"/>
  <c r="P59" i="16"/>
  <c r="O59" i="16"/>
  <c r="O58" i="16" s="1"/>
  <c r="N59" i="16"/>
  <c r="M59" i="16"/>
  <c r="K59" i="16"/>
  <c r="K58" i="16" s="1"/>
  <c r="J59" i="16"/>
  <c r="I59" i="16"/>
  <c r="H59" i="16"/>
  <c r="F59" i="16"/>
  <c r="F58" i="16" s="1"/>
  <c r="E59" i="16"/>
  <c r="D59" i="16"/>
  <c r="C59" i="16"/>
  <c r="P58" i="16"/>
  <c r="N58" i="16"/>
  <c r="M58" i="16"/>
  <c r="V56" i="16"/>
  <c r="S56" i="16"/>
  <c r="R56" i="16"/>
  <c r="S55" i="16"/>
  <c r="V55" i="16" s="1"/>
  <c r="R55" i="16"/>
  <c r="S54" i="16"/>
  <c r="V54" i="16" s="1"/>
  <c r="R54" i="16"/>
  <c r="S53" i="16"/>
  <c r="V53" i="16" s="1"/>
  <c r="R53" i="16"/>
  <c r="V52" i="16"/>
  <c r="S52" i="16"/>
  <c r="R52" i="16"/>
  <c r="S51" i="16"/>
  <c r="V51" i="16" s="1"/>
  <c r="R51" i="16"/>
  <c r="S50" i="16"/>
  <c r="R50" i="16"/>
  <c r="V50" i="16" s="1"/>
  <c r="S49" i="16"/>
  <c r="V49" i="16" s="1"/>
  <c r="Q49" i="16"/>
  <c r="O49" i="16"/>
  <c r="M49" i="16"/>
  <c r="R49" i="16" s="1"/>
  <c r="L49" i="16"/>
  <c r="J49" i="16"/>
  <c r="H49" i="16"/>
  <c r="G49" i="16"/>
  <c r="E49" i="16"/>
  <c r="C49" i="16"/>
  <c r="S48" i="16"/>
  <c r="R48" i="16"/>
  <c r="S47" i="16"/>
  <c r="R47" i="16"/>
  <c r="V47" i="16" s="1"/>
  <c r="S46" i="16"/>
  <c r="R46" i="16"/>
  <c r="V46" i="16" s="1"/>
  <c r="S45" i="16"/>
  <c r="R45" i="16"/>
  <c r="V45" i="16" s="1"/>
  <c r="S44" i="16"/>
  <c r="R44" i="16"/>
  <c r="S43" i="16"/>
  <c r="R43" i="16"/>
  <c r="V43" i="16" s="1"/>
  <c r="S42" i="16"/>
  <c r="R42" i="16"/>
  <c r="V42" i="16" s="1"/>
  <c r="S41" i="16"/>
  <c r="R41" i="16"/>
  <c r="S40" i="16"/>
  <c r="Q40" i="16"/>
  <c r="O40" i="16"/>
  <c r="M40" i="16"/>
  <c r="L40" i="16"/>
  <c r="J40" i="16"/>
  <c r="H40" i="16"/>
  <c r="G40" i="16"/>
  <c r="E40" i="16"/>
  <c r="C40" i="16"/>
  <c r="S39" i="16"/>
  <c r="R39" i="16"/>
  <c r="S38" i="16"/>
  <c r="R38" i="16"/>
  <c r="V38" i="16" s="1"/>
  <c r="V37" i="16"/>
  <c r="S37" i="16"/>
  <c r="R37" i="16"/>
  <c r="S36" i="16"/>
  <c r="V36" i="16" s="1"/>
  <c r="R36" i="16"/>
  <c r="S35" i="16"/>
  <c r="V35" i="16" s="1"/>
  <c r="R35" i="16"/>
  <c r="S34" i="16"/>
  <c r="R34" i="16"/>
  <c r="V34" i="16" s="1"/>
  <c r="S33" i="16"/>
  <c r="V33" i="16" s="1"/>
  <c r="R33" i="16"/>
  <c r="V32" i="16"/>
  <c r="S32" i="16"/>
  <c r="R32" i="16"/>
  <c r="S31" i="16"/>
  <c r="R31" i="16"/>
  <c r="Q30" i="16"/>
  <c r="O30" i="16"/>
  <c r="O11" i="16" s="1"/>
  <c r="O57" i="16" s="1"/>
  <c r="M30" i="16"/>
  <c r="L30" i="16"/>
  <c r="J30" i="16"/>
  <c r="H30" i="16"/>
  <c r="G30" i="16"/>
  <c r="E30" i="16"/>
  <c r="C30" i="16"/>
  <c r="S29" i="16"/>
  <c r="R29" i="16"/>
  <c r="V29" i="16" s="1"/>
  <c r="S28" i="16"/>
  <c r="R28" i="16"/>
  <c r="S27" i="16"/>
  <c r="R27" i="16"/>
  <c r="V27" i="16" s="1"/>
  <c r="S26" i="16"/>
  <c r="R26" i="16"/>
  <c r="S25" i="16"/>
  <c r="R25" i="16"/>
  <c r="V25" i="16" s="1"/>
  <c r="S24" i="16"/>
  <c r="R24" i="16"/>
  <c r="V24" i="16" s="1"/>
  <c r="S23" i="16"/>
  <c r="R23" i="16"/>
  <c r="S22" i="16"/>
  <c r="R22" i="16"/>
  <c r="V21" i="16"/>
  <c r="S21" i="16"/>
  <c r="R21" i="16"/>
  <c r="S20" i="16"/>
  <c r="Q20" i="16"/>
  <c r="O20" i="16"/>
  <c r="M20" i="16"/>
  <c r="L20" i="16"/>
  <c r="J20" i="16"/>
  <c r="H20" i="16"/>
  <c r="G20" i="16"/>
  <c r="E20" i="16"/>
  <c r="C20" i="16"/>
  <c r="S19" i="16"/>
  <c r="V19" i="16" s="1"/>
  <c r="R19" i="16"/>
  <c r="S18" i="16"/>
  <c r="R18" i="16"/>
  <c r="S17" i="16"/>
  <c r="V17" i="16" s="1"/>
  <c r="R17" i="16"/>
  <c r="S16" i="16"/>
  <c r="R16" i="16"/>
  <c r="V16" i="16" s="1"/>
  <c r="S15" i="16"/>
  <c r="V15" i="16" s="1"/>
  <c r="R15" i="16"/>
  <c r="S14" i="16"/>
  <c r="R14" i="16"/>
  <c r="Q13" i="16"/>
  <c r="O13" i="16"/>
  <c r="M13" i="16"/>
  <c r="L13" i="16"/>
  <c r="L11" i="16" s="1"/>
  <c r="J13" i="16"/>
  <c r="H13" i="16"/>
  <c r="G13" i="16"/>
  <c r="E13" i="16"/>
  <c r="S13" i="16" s="1"/>
  <c r="C13" i="16"/>
  <c r="R12" i="16"/>
  <c r="Q11" i="16"/>
  <c r="E11" i="16"/>
  <c r="D24" i="15"/>
  <c r="D17" i="15"/>
  <c r="F21" i="14"/>
  <c r="C24" i="13" s="1"/>
  <c r="E21" i="14"/>
  <c r="C93" i="13"/>
  <c r="C16" i="13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61" i="11"/>
  <c r="C228" i="11"/>
  <c r="C198" i="11"/>
  <c r="C123" i="11"/>
  <c r="C20" i="11" s="1"/>
  <c r="C122" i="11"/>
  <c r="C120" i="11"/>
  <c r="C119" i="11"/>
  <c r="C118" i="11"/>
  <c r="C117" i="11"/>
  <c r="C116" i="11"/>
  <c r="C115" i="11"/>
  <c r="C63" i="11"/>
  <c r="C62" i="11"/>
  <c r="C60" i="11"/>
  <c r="C59" i="11"/>
  <c r="C58" i="11"/>
  <c r="C57" i="11"/>
  <c r="C56" i="11"/>
  <c r="C55" i="11"/>
  <c r="E58" i="9"/>
  <c r="D58" i="9"/>
  <c r="E57" i="9"/>
  <c r="D57" i="9" s="1"/>
  <c r="E56" i="9"/>
  <c r="D56" i="9" s="1"/>
  <c r="E55" i="9"/>
  <c r="D55" i="9" s="1"/>
  <c r="E54" i="9"/>
  <c r="D54" i="9" s="1"/>
  <c r="E53" i="9"/>
  <c r="D53" i="9" s="1"/>
  <c r="E52" i="9"/>
  <c r="D52" i="9" s="1"/>
  <c r="E51" i="9"/>
  <c r="D51" i="9" s="1"/>
  <c r="E50" i="9"/>
  <c r="D50" i="9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 s="1"/>
  <c r="E42" i="9"/>
  <c r="D42" i="9"/>
  <c r="E41" i="9"/>
  <c r="D41" i="9" s="1"/>
  <c r="E40" i="9"/>
  <c r="D40" i="9" s="1"/>
  <c r="E39" i="9"/>
  <c r="D39" i="9" s="1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L30" i="9"/>
  <c r="K30" i="9"/>
  <c r="J30" i="9"/>
  <c r="I30" i="9"/>
  <c r="H30" i="9"/>
  <c r="G30" i="9"/>
  <c r="F30" i="9"/>
  <c r="D40" i="8"/>
  <c r="D31" i="8"/>
  <c r="D26" i="8"/>
  <c r="D22" i="8"/>
  <c r="D16" i="8"/>
  <c r="H70" i="7"/>
  <c r="H69" i="7"/>
  <c r="H66" i="7"/>
  <c r="H63" i="7"/>
  <c r="H62" i="7"/>
  <c r="S42" i="7"/>
  <c r="R41" i="7"/>
  <c r="P41" i="7"/>
  <c r="N41" i="7"/>
  <c r="L41" i="7"/>
  <c r="J41" i="7"/>
  <c r="F41" i="7"/>
  <c r="D41" i="7"/>
  <c r="R40" i="7"/>
  <c r="P40" i="7"/>
  <c r="N40" i="7"/>
  <c r="L40" i="7"/>
  <c r="J40" i="7"/>
  <c r="F40" i="7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R13" i="7" s="1"/>
  <c r="Q53" i="7" s="1"/>
  <c r="R53" i="7" s="1"/>
  <c r="P14" i="7"/>
  <c r="N14" i="7"/>
  <c r="L14" i="7"/>
  <c r="J14" i="7"/>
  <c r="H14" i="7"/>
  <c r="F14" i="7"/>
  <c r="D14" i="7"/>
  <c r="H70" i="6"/>
  <c r="H69" i="6"/>
  <c r="H66" i="6"/>
  <c r="H63" i="6"/>
  <c r="H62" i="6"/>
  <c r="S42" i="6"/>
  <c r="P41" i="6"/>
  <c r="N41" i="6"/>
  <c r="L41" i="6"/>
  <c r="J41" i="6"/>
  <c r="F41" i="6"/>
  <c r="D41" i="6"/>
  <c r="P40" i="6"/>
  <c r="N40" i="6"/>
  <c r="L40" i="6"/>
  <c r="J40" i="6"/>
  <c r="F40" i="6"/>
  <c r="D40" i="6"/>
  <c r="Q39" i="6"/>
  <c r="O39" i="6"/>
  <c r="M39" i="6"/>
  <c r="K39" i="6"/>
  <c r="I39" i="6"/>
  <c r="E39" i="6"/>
  <c r="C39" i="6"/>
  <c r="P38" i="6"/>
  <c r="N38" i="6"/>
  <c r="L38" i="6"/>
  <c r="J38" i="6"/>
  <c r="F38" i="6"/>
  <c r="D38" i="6"/>
  <c r="P37" i="6"/>
  <c r="N37" i="6"/>
  <c r="L37" i="6"/>
  <c r="J37" i="6"/>
  <c r="F37" i="6"/>
  <c r="D37" i="6"/>
  <c r="P36" i="6"/>
  <c r="N36" i="6"/>
  <c r="L36" i="6"/>
  <c r="J36" i="6"/>
  <c r="F36" i="6"/>
  <c r="D36" i="6"/>
  <c r="P35" i="6"/>
  <c r="N35" i="6"/>
  <c r="L35" i="6"/>
  <c r="J35" i="6"/>
  <c r="F35" i="6"/>
  <c r="D35" i="6"/>
  <c r="P34" i="6"/>
  <c r="N34" i="6"/>
  <c r="L34" i="6"/>
  <c r="J34" i="6"/>
  <c r="F34" i="6"/>
  <c r="D34" i="6"/>
  <c r="P33" i="6"/>
  <c r="N33" i="6"/>
  <c r="L33" i="6"/>
  <c r="J33" i="6"/>
  <c r="F33" i="6"/>
  <c r="D33" i="6"/>
  <c r="P32" i="6"/>
  <c r="N32" i="6"/>
  <c r="L32" i="6"/>
  <c r="J32" i="6"/>
  <c r="F32" i="6"/>
  <c r="D32" i="6"/>
  <c r="P31" i="6"/>
  <c r="N31" i="6"/>
  <c r="L31" i="6"/>
  <c r="J31" i="6"/>
  <c r="F31" i="6"/>
  <c r="D31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J14" i="6"/>
  <c r="H14" i="6"/>
  <c r="F14" i="6"/>
  <c r="D14" i="6"/>
  <c r="C143" i="5"/>
  <c r="C142" i="5" s="1"/>
  <c r="C132" i="5"/>
  <c r="C124" i="5" s="1"/>
  <c r="C125" i="5"/>
  <c r="C98" i="5"/>
  <c r="C66" i="5"/>
  <c r="C37" i="5"/>
  <c r="C26" i="5"/>
  <c r="C19" i="5"/>
  <c r="D206" i="4"/>
  <c r="D205" i="4"/>
  <c r="D196" i="4"/>
  <c r="D191" i="4" s="1"/>
  <c r="D74" i="4"/>
  <c r="D61" i="4"/>
  <c r="D53" i="3"/>
  <c r="D49" i="3"/>
  <c r="D48" i="3"/>
  <c r="D46" i="3"/>
  <c r="D37" i="3"/>
  <c r="D36" i="3" s="1"/>
  <c r="D30" i="3"/>
  <c r="D47" i="3" s="1"/>
  <c r="D29" i="3"/>
  <c r="D28" i="3"/>
  <c r="D27" i="3"/>
  <c r="D26" i="3"/>
  <c r="D25" i="3"/>
  <c r="D18" i="3"/>
  <c r="D17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P29" i="6" l="1"/>
  <c r="N39" i="6"/>
  <c r="J39" i="6"/>
  <c r="D12" i="15"/>
  <c r="D10" i="15" s="1"/>
  <c r="J29" i="6"/>
  <c r="L39" i="7"/>
  <c r="J39" i="7"/>
  <c r="F29" i="6"/>
  <c r="H58" i="7"/>
  <c r="P39" i="7"/>
  <c r="O46" i="6"/>
  <c r="P46" i="6" s="1"/>
  <c r="P60" i="6" s="1"/>
  <c r="F13" i="6"/>
  <c r="E51" i="6" s="1"/>
  <c r="F51" i="6" s="1"/>
  <c r="F65" i="6" s="1"/>
  <c r="L39" i="6"/>
  <c r="L29" i="6"/>
  <c r="L13" i="6"/>
  <c r="K49" i="6" s="1"/>
  <c r="L49" i="6" s="1"/>
  <c r="L63" i="6" s="1"/>
  <c r="H68" i="6"/>
  <c r="N13" i="6"/>
  <c r="M53" i="6" s="1"/>
  <c r="N53" i="6" s="1"/>
  <c r="N67" i="6" s="1"/>
  <c r="S24" i="6"/>
  <c r="H13" i="6"/>
  <c r="D13" i="6"/>
  <c r="C55" i="6" s="1"/>
  <c r="H58" i="6"/>
  <c r="C17" i="5" s="1"/>
  <c r="R39" i="7"/>
  <c r="D29" i="7"/>
  <c r="R29" i="7"/>
  <c r="N29" i="7"/>
  <c r="F29" i="7"/>
  <c r="L29" i="7"/>
  <c r="J13" i="7"/>
  <c r="I55" i="7" s="1"/>
  <c r="J55" i="7" s="1"/>
  <c r="F13" i="7"/>
  <c r="E53" i="7" s="1"/>
  <c r="F53" i="7" s="1"/>
  <c r="F67" i="7" s="1"/>
  <c r="H13" i="7"/>
  <c r="D13" i="7"/>
  <c r="C56" i="7" s="1"/>
  <c r="D56" i="7" s="1"/>
  <c r="D70" i="7" s="1"/>
  <c r="L13" i="7"/>
  <c r="K51" i="7" s="1"/>
  <c r="L51" i="7" s="1"/>
  <c r="L65" i="7" s="1"/>
  <c r="N13" i="7"/>
  <c r="M49" i="7" s="1"/>
  <c r="N49" i="7" s="1"/>
  <c r="N63" i="7" s="1"/>
  <c r="P29" i="7"/>
  <c r="S36" i="7"/>
  <c r="S31" i="7"/>
  <c r="P13" i="7"/>
  <c r="O51" i="7" s="1"/>
  <c r="P51" i="7" s="1"/>
  <c r="P65" i="7" s="1"/>
  <c r="S24" i="7"/>
  <c r="Q48" i="7"/>
  <c r="R48" i="7" s="1"/>
  <c r="R62" i="7" s="1"/>
  <c r="S14" i="7"/>
  <c r="C66" i="2"/>
  <c r="C46" i="2"/>
  <c r="J58" i="16"/>
  <c r="U96" i="16"/>
  <c r="U97" i="16"/>
  <c r="U65" i="16"/>
  <c r="U60" i="16"/>
  <c r="C17" i="11"/>
  <c r="C13" i="11"/>
  <c r="C14" i="11"/>
  <c r="C15" i="11"/>
  <c r="C12" i="11"/>
  <c r="C19" i="11"/>
  <c r="C16" i="11"/>
  <c r="E31" i="9"/>
  <c r="D13" i="8"/>
  <c r="D10" i="8" s="1"/>
  <c r="U94" i="16"/>
  <c r="W94" i="16"/>
  <c r="W98" i="16"/>
  <c r="W95" i="16"/>
  <c r="W92" i="16"/>
  <c r="W100" i="16"/>
  <c r="W97" i="16"/>
  <c r="C58" i="16"/>
  <c r="R90" i="16"/>
  <c r="W93" i="16"/>
  <c r="W64" i="16"/>
  <c r="W67" i="16"/>
  <c r="V48" i="16"/>
  <c r="C11" i="16"/>
  <c r="C57" i="16" s="1"/>
  <c r="R40" i="16"/>
  <c r="V23" i="16"/>
  <c r="H11" i="16"/>
  <c r="H57" i="16" s="1"/>
  <c r="V26" i="16"/>
  <c r="V28" i="16"/>
  <c r="O45" i="6"/>
  <c r="S35" i="7"/>
  <c r="R59" i="16"/>
  <c r="Q59" i="16"/>
  <c r="C11" i="2"/>
  <c r="V14" i="16"/>
  <c r="R13" i="16"/>
  <c r="V13" i="16" s="1"/>
  <c r="U63" i="16"/>
  <c r="G59" i="16"/>
  <c r="W63" i="16"/>
  <c r="T59" i="16"/>
  <c r="O55" i="6"/>
  <c r="O51" i="6"/>
  <c r="P51" i="6" s="1"/>
  <c r="P65" i="6" s="1"/>
  <c r="O47" i="6"/>
  <c r="P47" i="6" s="1"/>
  <c r="P61" i="6" s="1"/>
  <c r="O49" i="6"/>
  <c r="P49" i="6" s="1"/>
  <c r="P63" i="6" s="1"/>
  <c r="O56" i="6"/>
  <c r="P56" i="6" s="1"/>
  <c r="P70" i="6" s="1"/>
  <c r="O53" i="6"/>
  <c r="P53" i="6" s="1"/>
  <c r="P67" i="6" s="1"/>
  <c r="O52" i="6"/>
  <c r="P52" i="6" s="1"/>
  <c r="P66" i="6" s="1"/>
  <c r="O48" i="6"/>
  <c r="P48" i="6" s="1"/>
  <c r="P62" i="6" s="1"/>
  <c r="S33" i="7"/>
  <c r="S37" i="7"/>
  <c r="F39" i="7"/>
  <c r="S14" i="6"/>
  <c r="D39" i="6"/>
  <c r="F39" i="6"/>
  <c r="P39" i="6"/>
  <c r="O50" i="6"/>
  <c r="P50" i="6" s="1"/>
  <c r="P64" i="6" s="1"/>
  <c r="U61" i="16"/>
  <c r="U98" i="16"/>
  <c r="S30" i="7"/>
  <c r="J29" i="7"/>
  <c r="S34" i="7"/>
  <c r="D39" i="7"/>
  <c r="S40" i="7"/>
  <c r="N39" i="7"/>
  <c r="E30" i="9"/>
  <c r="U85" i="16"/>
  <c r="U122" i="16"/>
  <c r="J13" i="6"/>
  <c r="R13" i="6"/>
  <c r="D29" i="6"/>
  <c r="N29" i="6"/>
  <c r="Q50" i="7"/>
  <c r="R50" i="7" s="1"/>
  <c r="R64" i="7" s="1"/>
  <c r="Q46" i="7"/>
  <c r="R46" i="7" s="1"/>
  <c r="R60" i="7" s="1"/>
  <c r="Q55" i="7"/>
  <c r="Q49" i="7"/>
  <c r="R49" i="7" s="1"/>
  <c r="R63" i="7" s="1"/>
  <c r="Q56" i="7"/>
  <c r="R56" i="7" s="1"/>
  <c r="R70" i="7" s="1"/>
  <c r="Q51" i="7"/>
  <c r="R51" i="7" s="1"/>
  <c r="Q45" i="7"/>
  <c r="Q52" i="7"/>
  <c r="R52" i="7" s="1"/>
  <c r="R66" i="7" s="1"/>
  <c r="Q47" i="7"/>
  <c r="R47" i="7" s="1"/>
  <c r="S32" i="7"/>
  <c r="R61" i="7"/>
  <c r="U70" i="16"/>
  <c r="U121" i="16"/>
  <c r="C87" i="2"/>
  <c r="E57" i="16"/>
  <c r="R30" i="16"/>
  <c r="W79" i="16"/>
  <c r="U86" i="16"/>
  <c r="J16" i="17"/>
  <c r="O56" i="7"/>
  <c r="P56" i="7" s="1"/>
  <c r="P70" i="7" s="1"/>
  <c r="O52" i="7"/>
  <c r="P52" i="7" s="1"/>
  <c r="P66" i="7" s="1"/>
  <c r="O48" i="7"/>
  <c r="P48" i="7" s="1"/>
  <c r="P62" i="7" s="1"/>
  <c r="O53" i="7"/>
  <c r="P53" i="7" s="1"/>
  <c r="P67" i="7" s="1"/>
  <c r="O47" i="7"/>
  <c r="P47" i="7" s="1"/>
  <c r="P61" i="7" s="1"/>
  <c r="O49" i="7"/>
  <c r="P49" i="7" s="1"/>
  <c r="P63" i="7" s="1"/>
  <c r="S38" i="7"/>
  <c r="R67" i="7"/>
  <c r="S41" i="7"/>
  <c r="O45" i="7"/>
  <c r="O50" i="7"/>
  <c r="P50" i="7" s="1"/>
  <c r="P64" i="7" s="1"/>
  <c r="O55" i="7"/>
  <c r="V40" i="16"/>
  <c r="U62" i="16"/>
  <c r="Q90" i="16"/>
  <c r="L90" i="16"/>
  <c r="U92" i="16"/>
  <c r="H68" i="7"/>
  <c r="R20" i="16"/>
  <c r="V20" i="16" s="1"/>
  <c r="V22" i="16"/>
  <c r="S30" i="16"/>
  <c r="V30" i="16" s="1"/>
  <c r="V39" i="16"/>
  <c r="V41" i="16"/>
  <c r="W60" i="16"/>
  <c r="W68" i="16"/>
  <c r="W76" i="16"/>
  <c r="W84" i="16"/>
  <c r="U91" i="16"/>
  <c r="G90" i="16"/>
  <c r="T90" i="16"/>
  <c r="W91" i="16"/>
  <c r="U99" i="16"/>
  <c r="W99" i="16"/>
  <c r="U107" i="16"/>
  <c r="W107" i="16"/>
  <c r="U115" i="16"/>
  <c r="W115" i="16"/>
  <c r="U123" i="16"/>
  <c r="W123" i="16"/>
  <c r="G11" i="16"/>
  <c r="M11" i="16"/>
  <c r="M57" i="16" s="1"/>
  <c r="V18" i="16"/>
  <c r="W96" i="16"/>
  <c r="W104" i="16"/>
  <c r="W112" i="16"/>
  <c r="W120" i="16"/>
  <c r="W128" i="16"/>
  <c r="V31" i="16"/>
  <c r="V44" i="16"/>
  <c r="L59" i="16"/>
  <c r="I53" i="7" l="1"/>
  <c r="J53" i="7" s="1"/>
  <c r="J67" i="7" s="1"/>
  <c r="C48" i="7"/>
  <c r="D48" i="7" s="1"/>
  <c r="E47" i="6"/>
  <c r="F47" i="6" s="1"/>
  <c r="F61" i="6" s="1"/>
  <c r="K51" i="6"/>
  <c r="L51" i="6" s="1"/>
  <c r="L65" i="6" s="1"/>
  <c r="I50" i="7"/>
  <c r="J50" i="7" s="1"/>
  <c r="J64" i="7" s="1"/>
  <c r="I45" i="7"/>
  <c r="J45" i="7" s="1"/>
  <c r="E48" i="6"/>
  <c r="F48" i="6" s="1"/>
  <c r="F62" i="6" s="1"/>
  <c r="K52" i="7"/>
  <c r="L52" i="7" s="1"/>
  <c r="L66" i="7" s="1"/>
  <c r="I48" i="7"/>
  <c r="J48" i="7" s="1"/>
  <c r="J62" i="7" s="1"/>
  <c r="E52" i="6"/>
  <c r="F52" i="6" s="1"/>
  <c r="F66" i="6" s="1"/>
  <c r="C51" i="6"/>
  <c r="D51" i="6" s="1"/>
  <c r="D65" i="6" s="1"/>
  <c r="E46" i="7"/>
  <c r="F46" i="7" s="1"/>
  <c r="F60" i="7" s="1"/>
  <c r="K53" i="7"/>
  <c r="L53" i="7" s="1"/>
  <c r="L67" i="7" s="1"/>
  <c r="E55" i="7"/>
  <c r="F55" i="7" s="1"/>
  <c r="I51" i="7"/>
  <c r="J51" i="7" s="1"/>
  <c r="J65" i="7" s="1"/>
  <c r="I47" i="7"/>
  <c r="J47" i="7" s="1"/>
  <c r="J61" i="7" s="1"/>
  <c r="E50" i="6"/>
  <c r="F50" i="6" s="1"/>
  <c r="F64" i="6" s="1"/>
  <c r="E55" i="6"/>
  <c r="F55" i="6" s="1"/>
  <c r="C48" i="6"/>
  <c r="D48" i="6" s="1"/>
  <c r="D62" i="6" s="1"/>
  <c r="K49" i="7"/>
  <c r="L49" i="7" s="1"/>
  <c r="L63" i="7" s="1"/>
  <c r="I56" i="7"/>
  <c r="J56" i="7" s="1"/>
  <c r="J70" i="7" s="1"/>
  <c r="I46" i="7"/>
  <c r="J46" i="7" s="1"/>
  <c r="J60" i="7" s="1"/>
  <c r="E53" i="6"/>
  <c r="F53" i="6" s="1"/>
  <c r="F67" i="6" s="1"/>
  <c r="C45" i="6"/>
  <c r="D45" i="6" s="1"/>
  <c r="C52" i="7"/>
  <c r="D52" i="7" s="1"/>
  <c r="D66" i="7" s="1"/>
  <c r="K56" i="6"/>
  <c r="L56" i="6" s="1"/>
  <c r="L70" i="6" s="1"/>
  <c r="K52" i="6"/>
  <c r="L52" i="6" s="1"/>
  <c r="L66" i="6" s="1"/>
  <c r="H57" i="7"/>
  <c r="K50" i="7"/>
  <c r="L50" i="7" s="1"/>
  <c r="L64" i="7" s="1"/>
  <c r="K45" i="6"/>
  <c r="L45" i="6" s="1"/>
  <c r="I49" i="7"/>
  <c r="J49" i="7" s="1"/>
  <c r="J63" i="7" s="1"/>
  <c r="I52" i="7"/>
  <c r="J52" i="7" s="1"/>
  <c r="J66" i="7" s="1"/>
  <c r="K50" i="6"/>
  <c r="L50" i="6" s="1"/>
  <c r="L64" i="6" s="1"/>
  <c r="K55" i="6"/>
  <c r="K54" i="6" s="1"/>
  <c r="E49" i="7"/>
  <c r="F49" i="7" s="1"/>
  <c r="F63" i="7" s="1"/>
  <c r="E52" i="7"/>
  <c r="F52" i="7" s="1"/>
  <c r="F66" i="7" s="1"/>
  <c r="E45" i="6"/>
  <c r="F45" i="6" s="1"/>
  <c r="E56" i="6"/>
  <c r="F56" i="6" s="1"/>
  <c r="F70" i="6" s="1"/>
  <c r="K48" i="6"/>
  <c r="L48" i="6" s="1"/>
  <c r="L62" i="6" s="1"/>
  <c r="K47" i="6"/>
  <c r="L47" i="6" s="1"/>
  <c r="L61" i="6" s="1"/>
  <c r="E45" i="7"/>
  <c r="F45" i="7" s="1"/>
  <c r="E49" i="6"/>
  <c r="F49" i="6" s="1"/>
  <c r="F63" i="6" s="1"/>
  <c r="E46" i="6"/>
  <c r="F46" i="6" s="1"/>
  <c r="F60" i="6" s="1"/>
  <c r="H57" i="6"/>
  <c r="K47" i="7"/>
  <c r="L47" i="7" s="1"/>
  <c r="L61" i="7" s="1"/>
  <c r="R37" i="6"/>
  <c r="S37" i="6" s="1"/>
  <c r="R33" i="6"/>
  <c r="S33" i="6" s="1"/>
  <c r="S27" i="6"/>
  <c r="R40" i="6"/>
  <c r="R38" i="6"/>
  <c r="S38" i="6" s="1"/>
  <c r="R34" i="6"/>
  <c r="S34" i="6" s="1"/>
  <c r="R30" i="6"/>
  <c r="R41" i="6"/>
  <c r="S41" i="6" s="1"/>
  <c r="R35" i="6"/>
  <c r="S35" i="6" s="1"/>
  <c r="R31" i="6"/>
  <c r="S31" i="6" s="1"/>
  <c r="R36" i="6"/>
  <c r="S36" i="6" s="1"/>
  <c r="R32" i="6"/>
  <c r="S32" i="6" s="1"/>
  <c r="M55" i="6"/>
  <c r="N55" i="6" s="1"/>
  <c r="M56" i="6"/>
  <c r="N56" i="6" s="1"/>
  <c r="N70" i="6" s="1"/>
  <c r="M48" i="6"/>
  <c r="N48" i="6" s="1"/>
  <c r="N62" i="6" s="1"/>
  <c r="M45" i="6"/>
  <c r="N45" i="6" s="1"/>
  <c r="M46" i="6"/>
  <c r="N46" i="6" s="1"/>
  <c r="N60" i="6" s="1"/>
  <c r="K46" i="6"/>
  <c r="L46" i="6" s="1"/>
  <c r="L60" i="6" s="1"/>
  <c r="K53" i="6"/>
  <c r="L53" i="6" s="1"/>
  <c r="L67" i="6" s="1"/>
  <c r="C52" i="6"/>
  <c r="D52" i="6" s="1"/>
  <c r="D66" i="6" s="1"/>
  <c r="C56" i="6"/>
  <c r="D56" i="6" s="1"/>
  <c r="D70" i="6" s="1"/>
  <c r="C49" i="6"/>
  <c r="D49" i="6" s="1"/>
  <c r="D63" i="6" s="1"/>
  <c r="C46" i="6"/>
  <c r="D46" i="6" s="1"/>
  <c r="D60" i="6" s="1"/>
  <c r="C50" i="6"/>
  <c r="D50" i="6" s="1"/>
  <c r="D64" i="6" s="1"/>
  <c r="C53" i="6"/>
  <c r="D53" i="6" s="1"/>
  <c r="D67" i="6" s="1"/>
  <c r="C47" i="6"/>
  <c r="D47" i="6" s="1"/>
  <c r="D61" i="6" s="1"/>
  <c r="M50" i="6"/>
  <c r="N50" i="6" s="1"/>
  <c r="N64" i="6" s="1"/>
  <c r="M47" i="6"/>
  <c r="N47" i="6" s="1"/>
  <c r="N61" i="6" s="1"/>
  <c r="M49" i="6"/>
  <c r="N49" i="6" s="1"/>
  <c r="N63" i="6" s="1"/>
  <c r="M51" i="6"/>
  <c r="N51" i="6" s="1"/>
  <c r="N65" i="6" s="1"/>
  <c r="M52" i="6"/>
  <c r="N52" i="6" s="1"/>
  <c r="N66" i="6" s="1"/>
  <c r="M52" i="7"/>
  <c r="N52" i="7" s="1"/>
  <c r="N66" i="7" s="1"/>
  <c r="K55" i="7"/>
  <c r="L55" i="7" s="1"/>
  <c r="K56" i="7"/>
  <c r="L56" i="7" s="1"/>
  <c r="L70" i="7" s="1"/>
  <c r="K45" i="7"/>
  <c r="L45" i="7" s="1"/>
  <c r="K48" i="7"/>
  <c r="L48" i="7" s="1"/>
  <c r="L62" i="7" s="1"/>
  <c r="E51" i="7"/>
  <c r="F51" i="7" s="1"/>
  <c r="F65" i="7" s="1"/>
  <c r="E48" i="7"/>
  <c r="F48" i="7" s="1"/>
  <c r="F62" i="7" s="1"/>
  <c r="E47" i="7"/>
  <c r="F47" i="7" s="1"/>
  <c r="F61" i="7" s="1"/>
  <c r="E50" i="7"/>
  <c r="F50" i="7" s="1"/>
  <c r="F64" i="7" s="1"/>
  <c r="E56" i="7"/>
  <c r="F56" i="7" s="1"/>
  <c r="F70" i="7" s="1"/>
  <c r="C49" i="7"/>
  <c r="D49" i="7" s="1"/>
  <c r="D63" i="7" s="1"/>
  <c r="C46" i="7"/>
  <c r="D46" i="7" s="1"/>
  <c r="D60" i="7" s="1"/>
  <c r="C47" i="7"/>
  <c r="D47" i="7" s="1"/>
  <c r="D61" i="7" s="1"/>
  <c r="C45" i="7"/>
  <c r="D45" i="7" s="1"/>
  <c r="C55" i="7"/>
  <c r="C54" i="7" s="1"/>
  <c r="C50" i="7"/>
  <c r="D50" i="7" s="1"/>
  <c r="C51" i="7"/>
  <c r="D51" i="7" s="1"/>
  <c r="D65" i="7" s="1"/>
  <c r="C53" i="7"/>
  <c r="D53" i="7" s="1"/>
  <c r="D67" i="7" s="1"/>
  <c r="M56" i="7"/>
  <c r="N56" i="7" s="1"/>
  <c r="N70" i="7" s="1"/>
  <c r="M55" i="7"/>
  <c r="N55" i="7" s="1"/>
  <c r="M46" i="7"/>
  <c r="N46" i="7" s="1"/>
  <c r="N60" i="7" s="1"/>
  <c r="M47" i="7"/>
  <c r="N47" i="7" s="1"/>
  <c r="N61" i="7" s="1"/>
  <c r="K46" i="7"/>
  <c r="L46" i="7" s="1"/>
  <c r="L60" i="7" s="1"/>
  <c r="S13" i="7"/>
  <c r="M48" i="7"/>
  <c r="N48" i="7" s="1"/>
  <c r="N62" i="7" s="1"/>
  <c r="M45" i="7"/>
  <c r="N45" i="7" s="1"/>
  <c r="M50" i="7"/>
  <c r="N50" i="7" s="1"/>
  <c r="N64" i="7" s="1"/>
  <c r="M53" i="7"/>
  <c r="N53" i="7" s="1"/>
  <c r="N67" i="7" s="1"/>
  <c r="M51" i="7"/>
  <c r="N51" i="7" s="1"/>
  <c r="N65" i="7" s="1"/>
  <c r="O46" i="7"/>
  <c r="P46" i="7" s="1"/>
  <c r="P60" i="7" s="1"/>
  <c r="C110" i="2"/>
  <c r="C65" i="2"/>
  <c r="L58" i="16"/>
  <c r="U59" i="16"/>
  <c r="W90" i="16"/>
  <c r="R58" i="16"/>
  <c r="P45" i="7"/>
  <c r="O44" i="7"/>
  <c r="U90" i="16"/>
  <c r="P55" i="7"/>
  <c r="O54" i="7"/>
  <c r="D62" i="7"/>
  <c r="Q53" i="6"/>
  <c r="R53" i="6" s="1"/>
  <c r="R67" i="6" s="1"/>
  <c r="Q49" i="6"/>
  <c r="R49" i="6" s="1"/>
  <c r="R63" i="6" s="1"/>
  <c r="Q45" i="6"/>
  <c r="Q56" i="6"/>
  <c r="R56" i="6" s="1"/>
  <c r="R70" i="6" s="1"/>
  <c r="Q46" i="6"/>
  <c r="R46" i="6" s="1"/>
  <c r="Q50" i="6"/>
  <c r="R50" i="6" s="1"/>
  <c r="R64" i="6" s="1"/>
  <c r="Q55" i="6"/>
  <c r="Q52" i="6"/>
  <c r="R52" i="6" s="1"/>
  <c r="R66" i="6" s="1"/>
  <c r="Q58" i="16"/>
  <c r="R65" i="7"/>
  <c r="Q42" i="7"/>
  <c r="R45" i="7"/>
  <c r="Q44" i="7"/>
  <c r="R55" i="7"/>
  <c r="Q54" i="7"/>
  <c r="I53" i="6"/>
  <c r="J53" i="6" s="1"/>
  <c r="J67" i="6" s="1"/>
  <c r="I49" i="6"/>
  <c r="J49" i="6" s="1"/>
  <c r="J63" i="6" s="1"/>
  <c r="I45" i="6"/>
  <c r="I48" i="6"/>
  <c r="J48" i="6" s="1"/>
  <c r="J62" i="6" s="1"/>
  <c r="I52" i="6"/>
  <c r="J52" i="6" s="1"/>
  <c r="J66" i="6" s="1"/>
  <c r="I51" i="6"/>
  <c r="J51" i="6" s="1"/>
  <c r="J65" i="6" s="1"/>
  <c r="I50" i="6"/>
  <c r="J50" i="6" s="1"/>
  <c r="J64" i="6" s="1"/>
  <c r="I55" i="6"/>
  <c r="I47" i="6"/>
  <c r="J47" i="6" s="1"/>
  <c r="J61" i="6" s="1"/>
  <c r="I46" i="6"/>
  <c r="J46" i="6" s="1"/>
  <c r="J60" i="6" s="1"/>
  <c r="I56" i="6"/>
  <c r="J56" i="6" s="1"/>
  <c r="J70" i="6" s="1"/>
  <c r="G58" i="16"/>
  <c r="S13" i="6"/>
  <c r="S29" i="7"/>
  <c r="P45" i="6"/>
  <c r="O44" i="6"/>
  <c r="O42" i="6"/>
  <c r="R11" i="16"/>
  <c r="D64" i="7"/>
  <c r="S39" i="7"/>
  <c r="P55" i="6"/>
  <c r="O54" i="6"/>
  <c r="T58" i="16"/>
  <c r="W59" i="16"/>
  <c r="D55" i="6"/>
  <c r="J69" i="7"/>
  <c r="E44" i="6" l="1"/>
  <c r="L55" i="6"/>
  <c r="L54" i="6" s="1"/>
  <c r="J54" i="7"/>
  <c r="S63" i="7"/>
  <c r="I54" i="7"/>
  <c r="E54" i="6"/>
  <c r="I42" i="7"/>
  <c r="D55" i="7"/>
  <c r="S55" i="7" s="1"/>
  <c r="J68" i="7"/>
  <c r="M54" i="7"/>
  <c r="C54" i="6"/>
  <c r="S66" i="7"/>
  <c r="C105" i="5" s="1"/>
  <c r="C88" i="5" s="1"/>
  <c r="I44" i="7"/>
  <c r="E42" i="6"/>
  <c r="K42" i="6"/>
  <c r="K54" i="7"/>
  <c r="R60" i="6"/>
  <c r="M54" i="6"/>
  <c r="Q51" i="6"/>
  <c r="R51" i="6" s="1"/>
  <c r="R65" i="6" s="1"/>
  <c r="S65" i="6" s="1"/>
  <c r="S40" i="6"/>
  <c r="S39" i="6" s="1"/>
  <c r="R39" i="6"/>
  <c r="Q47" i="6"/>
  <c r="R47" i="6" s="1"/>
  <c r="R61" i="6" s="1"/>
  <c r="S61" i="6" s="1"/>
  <c r="R29" i="6"/>
  <c r="S30" i="6"/>
  <c r="S29" i="6" s="1"/>
  <c r="Q48" i="6"/>
  <c r="R48" i="6" s="1"/>
  <c r="R62" i="6" s="1"/>
  <c r="S62" i="6" s="1"/>
  <c r="C44" i="6"/>
  <c r="S63" i="6"/>
  <c r="M44" i="6"/>
  <c r="K44" i="6"/>
  <c r="C42" i="6"/>
  <c r="M42" i="6"/>
  <c r="S70" i="6"/>
  <c r="S66" i="6"/>
  <c r="C73" i="5" s="1"/>
  <c r="S50" i="6"/>
  <c r="S46" i="6"/>
  <c r="S60" i="6"/>
  <c r="C57" i="5" s="1"/>
  <c r="S67" i="6"/>
  <c r="S49" i="6"/>
  <c r="S53" i="7"/>
  <c r="S64" i="7"/>
  <c r="S70" i="7"/>
  <c r="S56" i="7"/>
  <c r="E54" i="7"/>
  <c r="S49" i="7"/>
  <c r="C42" i="7"/>
  <c r="S52" i="7"/>
  <c r="S47" i="7"/>
  <c r="K44" i="7"/>
  <c r="E44" i="7"/>
  <c r="E42" i="7"/>
  <c r="C44" i="7"/>
  <c r="S61" i="7"/>
  <c r="S60" i="7"/>
  <c r="S50" i="7"/>
  <c r="M44" i="7"/>
  <c r="K42" i="7"/>
  <c r="S46" i="7"/>
  <c r="S62" i="7"/>
  <c r="M42" i="7"/>
  <c r="S65" i="7"/>
  <c r="S48" i="7"/>
  <c r="S51" i="7"/>
  <c r="S67" i="7"/>
  <c r="O42" i="7"/>
  <c r="U58" i="16"/>
  <c r="W58" i="16"/>
  <c r="D54" i="6"/>
  <c r="D69" i="6"/>
  <c r="N44" i="6"/>
  <c r="N59" i="6"/>
  <c r="N58" i="6" s="1"/>
  <c r="C42" i="5" s="1"/>
  <c r="C36" i="5" s="1"/>
  <c r="N59" i="7"/>
  <c r="N58" i="7" s="1"/>
  <c r="N44" i="7"/>
  <c r="N54" i="6"/>
  <c r="N69" i="6"/>
  <c r="N68" i="6" s="1"/>
  <c r="F54" i="7"/>
  <c r="F69" i="7"/>
  <c r="F68" i="7" s="1"/>
  <c r="J44" i="7"/>
  <c r="J59" i="7"/>
  <c r="J58" i="7" s="1"/>
  <c r="J45" i="6"/>
  <c r="I44" i="6"/>
  <c r="I42" i="6"/>
  <c r="S52" i="6"/>
  <c r="F44" i="7"/>
  <c r="F59" i="7"/>
  <c r="F58" i="7" s="1"/>
  <c r="F57" i="7" s="1"/>
  <c r="R45" i="6"/>
  <c r="L54" i="7"/>
  <c r="L69" i="7"/>
  <c r="L68" i="7" s="1"/>
  <c r="S64" i="6"/>
  <c r="F44" i="6"/>
  <c r="F59" i="6"/>
  <c r="F58" i="6" s="1"/>
  <c r="C15" i="5" s="1"/>
  <c r="P54" i="6"/>
  <c r="P69" i="6"/>
  <c r="P68" i="6" s="1"/>
  <c r="L44" i="6"/>
  <c r="L59" i="6"/>
  <c r="L58" i="6" s="1"/>
  <c r="C35" i="5" s="1"/>
  <c r="C30" i="5" s="1"/>
  <c r="P44" i="6"/>
  <c r="P59" i="6"/>
  <c r="P58" i="6" s="1"/>
  <c r="S56" i="6"/>
  <c r="R69" i="7"/>
  <c r="R68" i="7" s="1"/>
  <c r="R54" i="7"/>
  <c r="D44" i="6"/>
  <c r="D59" i="6"/>
  <c r="P44" i="7"/>
  <c r="P59" i="7"/>
  <c r="P58" i="7" s="1"/>
  <c r="D44" i="7"/>
  <c r="D59" i="7"/>
  <c r="S45" i="7"/>
  <c r="P54" i="7"/>
  <c r="P69" i="7"/>
  <c r="P68" i="7" s="1"/>
  <c r="S47" i="6"/>
  <c r="L69" i="6"/>
  <c r="L68" i="6" s="1"/>
  <c r="S53" i="6"/>
  <c r="F69" i="6"/>
  <c r="F68" i="6" s="1"/>
  <c r="F54" i="6"/>
  <c r="N54" i="7"/>
  <c r="N69" i="7"/>
  <c r="N68" i="7" s="1"/>
  <c r="J55" i="6"/>
  <c r="I54" i="6"/>
  <c r="R44" i="7"/>
  <c r="R59" i="7"/>
  <c r="R58" i="7" s="1"/>
  <c r="Q54" i="6"/>
  <c r="R55" i="6"/>
  <c r="L44" i="7"/>
  <c r="L59" i="7"/>
  <c r="L58" i="7" s="1"/>
  <c r="J57" i="7" l="1"/>
  <c r="D54" i="7"/>
  <c r="D69" i="7"/>
  <c r="D68" i="7" s="1"/>
  <c r="C56" i="5"/>
  <c r="P57" i="6"/>
  <c r="C43" i="5"/>
  <c r="S51" i="6"/>
  <c r="Q44" i="6"/>
  <c r="S48" i="6"/>
  <c r="Q42" i="6"/>
  <c r="S54" i="7"/>
  <c r="S44" i="7"/>
  <c r="P57" i="7"/>
  <c r="R57" i="7"/>
  <c r="S59" i="7"/>
  <c r="S58" i="7" s="1"/>
  <c r="D58" i="7"/>
  <c r="R44" i="6"/>
  <c r="R59" i="6"/>
  <c r="L57" i="7"/>
  <c r="J54" i="6"/>
  <c r="J69" i="6"/>
  <c r="J68" i="6" s="1"/>
  <c r="D58" i="6"/>
  <c r="C14" i="5" s="1"/>
  <c r="L57" i="6"/>
  <c r="F57" i="6"/>
  <c r="D68" i="6"/>
  <c r="J44" i="6"/>
  <c r="J59" i="6"/>
  <c r="J58" i="6" s="1"/>
  <c r="C29" i="5" s="1"/>
  <c r="C18" i="5" s="1"/>
  <c r="N57" i="7"/>
  <c r="R54" i="6"/>
  <c r="R69" i="6"/>
  <c r="R68" i="6" s="1"/>
  <c r="S69" i="7"/>
  <c r="S68" i="7" s="1"/>
  <c r="C114" i="5" s="1"/>
  <c r="C87" i="5" s="1"/>
  <c r="S45" i="6"/>
  <c r="N57" i="6"/>
  <c r="S55" i="6"/>
  <c r="S54" i="6" s="1"/>
  <c r="S44" i="6" l="1"/>
  <c r="R58" i="6"/>
  <c r="C12" i="5"/>
  <c r="D57" i="6"/>
  <c r="J57" i="6"/>
  <c r="D57" i="7"/>
  <c r="S57" i="7" s="1"/>
  <c r="S69" i="6"/>
  <c r="S68" i="6" s="1"/>
  <c r="S59" i="6"/>
  <c r="S58" i="6" s="1"/>
  <c r="R57" i="6"/>
  <c r="C82" i="5" l="1"/>
  <c r="C50" i="5"/>
  <c r="C11" i="5" s="1"/>
  <c r="S57" i="6"/>
  <c r="C40" i="13"/>
  <c r="C12" i="13"/>
  <c r="C50" i="11" l="1"/>
  <c r="C35" i="11" l="1"/>
  <c r="C34" i="11"/>
  <c r="C37" i="11"/>
  <c r="C36" i="11"/>
  <c r="C31" i="11"/>
  <c r="C26" i="11"/>
  <c r="D21" i="9" l="1"/>
  <c r="H21" i="9" l="1"/>
  <c r="P21" i="9"/>
  <c r="I21" i="9"/>
  <c r="N21" i="9"/>
  <c r="K21" i="9"/>
  <c r="G21" i="9"/>
  <c r="O21" i="9"/>
  <c r="F21" i="9"/>
  <c r="M21" i="9"/>
  <c r="J21" i="9"/>
  <c r="L21" i="9"/>
  <c r="E21" i="9" l="1"/>
  <c r="C242" i="11" s="1"/>
  <c r="D16" i="10" l="1"/>
  <c r="D22" i="9" l="1"/>
  <c r="D20" i="10"/>
  <c r="D18" i="10"/>
  <c r="D19" i="10"/>
  <c r="D36" i="9"/>
  <c r="G22" i="9" l="1"/>
  <c r="J22" i="9"/>
  <c r="N22" i="9"/>
  <c r="M22" i="9"/>
  <c r="P22" i="9"/>
  <c r="I22" i="9"/>
  <c r="H22" i="9"/>
  <c r="K22" i="9"/>
  <c r="L22" i="9"/>
  <c r="O22" i="9"/>
  <c r="F22" i="9"/>
  <c r="N36" i="9"/>
  <c r="F36" i="9"/>
  <c r="I36" i="9"/>
  <c r="O36" i="9"/>
  <c r="M36" i="9"/>
  <c r="J36" i="9"/>
  <c r="P36" i="9"/>
  <c r="K36" i="9"/>
  <c r="H36" i="9"/>
  <c r="G36" i="9"/>
  <c r="L36" i="9"/>
  <c r="E22" i="9" l="1"/>
  <c r="C254" i="11" s="1"/>
  <c r="E36" i="9"/>
  <c r="D34" i="9"/>
  <c r="P34" i="9" l="1"/>
  <c r="G34" i="9"/>
  <c r="I34" i="9"/>
  <c r="K34" i="9"/>
  <c r="M34" i="9"/>
  <c r="O34" i="9"/>
  <c r="H34" i="9"/>
  <c r="L34" i="9"/>
  <c r="F34" i="9"/>
  <c r="J34" i="9"/>
  <c r="N34" i="9"/>
  <c r="E34" i="9" l="1"/>
  <c r="D37" i="9"/>
  <c r="G37" i="9" l="1"/>
  <c r="O37" i="9"/>
  <c r="K37" i="9"/>
  <c r="H37" i="9"/>
  <c r="L37" i="9"/>
  <c r="N37" i="9"/>
  <c r="I37" i="9"/>
  <c r="M37" i="9"/>
  <c r="P37" i="9"/>
  <c r="F37" i="9"/>
  <c r="J37" i="9"/>
  <c r="D32" i="10"/>
  <c r="D28" i="10"/>
  <c r="D29" i="10"/>
  <c r="D25" i="9"/>
  <c r="D27" i="10"/>
  <c r="D23" i="9"/>
  <c r="D20" i="9"/>
  <c r="D24" i="9"/>
  <c r="F24" i="9" l="1"/>
  <c r="N24" i="9"/>
  <c r="P24" i="9"/>
  <c r="L24" i="9"/>
  <c r="I24" i="9"/>
  <c r="K24" i="9"/>
  <c r="G24" i="9"/>
  <c r="O24" i="9"/>
  <c r="M24" i="9"/>
  <c r="H24" i="9"/>
  <c r="J24" i="9"/>
  <c r="M25" i="9"/>
  <c r="G25" i="9"/>
  <c r="P25" i="9"/>
  <c r="L25" i="9"/>
  <c r="J25" i="9"/>
  <c r="I25" i="9"/>
  <c r="K25" i="9"/>
  <c r="F25" i="9"/>
  <c r="O25" i="9"/>
  <c r="H25" i="9"/>
  <c r="N25" i="9"/>
  <c r="K20" i="9"/>
  <c r="M20" i="9"/>
  <c r="O20" i="9"/>
  <c r="F20" i="9"/>
  <c r="H20" i="9"/>
  <c r="N20" i="9"/>
  <c r="L20" i="9"/>
  <c r="J20" i="9"/>
  <c r="I20" i="9"/>
  <c r="G20" i="9"/>
  <c r="P20" i="9"/>
  <c r="H23" i="9"/>
  <c r="P23" i="9"/>
  <c r="N23" i="9"/>
  <c r="I23" i="9"/>
  <c r="K23" i="9"/>
  <c r="L23" i="9"/>
  <c r="O23" i="9"/>
  <c r="F23" i="9"/>
  <c r="G23" i="9"/>
  <c r="J23" i="9"/>
  <c r="M23" i="9"/>
  <c r="E37" i="9"/>
  <c r="C281" i="11" s="1"/>
  <c r="D31" i="10"/>
  <c r="D21" i="10"/>
  <c r="D22" i="10"/>
  <c r="D30" i="10"/>
  <c r="D18" i="9"/>
  <c r="D41" i="10"/>
  <c r="D34" i="10"/>
  <c r="D38" i="10"/>
  <c r="E20" i="9" l="1"/>
  <c r="C112" i="11" s="1"/>
  <c r="E24" i="9"/>
  <c r="C214" i="11" s="1"/>
  <c r="H18" i="9"/>
  <c r="J18" i="9"/>
  <c r="P18" i="9"/>
  <c r="N18" i="9"/>
  <c r="I18" i="9"/>
  <c r="G18" i="9"/>
  <c r="M18" i="9"/>
  <c r="K18" i="9"/>
  <c r="L18" i="9"/>
  <c r="O18" i="9"/>
  <c r="F18" i="9"/>
  <c r="E23" i="9"/>
  <c r="C196" i="11" s="1"/>
  <c r="E25" i="9"/>
  <c r="C172" i="11" s="1"/>
  <c r="C97" i="11"/>
  <c r="C223" i="11"/>
  <c r="D42" i="10"/>
  <c r="D40" i="10"/>
  <c r="D28" i="9"/>
  <c r="D26" i="9"/>
  <c r="D19" i="9"/>
  <c r="D35" i="10"/>
  <c r="D35" i="9"/>
  <c r="N26" i="9" l="1"/>
  <c r="M26" i="9"/>
  <c r="H26" i="9"/>
  <c r="G26" i="9"/>
  <c r="L26" i="9"/>
  <c r="O26" i="9"/>
  <c r="P26" i="9"/>
  <c r="F26" i="9"/>
  <c r="K26" i="9"/>
  <c r="J26" i="9"/>
  <c r="I26" i="9"/>
  <c r="D33" i="10"/>
  <c r="D37" i="10"/>
  <c r="O35" i="9"/>
  <c r="O33" i="9" s="1"/>
  <c r="M35" i="9"/>
  <c r="M33" i="9" s="1"/>
  <c r="N35" i="9"/>
  <c r="N33" i="9" s="1"/>
  <c r="I35" i="9"/>
  <c r="I33" i="9" s="1"/>
  <c r="G35" i="9"/>
  <c r="G33" i="9" s="1"/>
  <c r="J35" i="9"/>
  <c r="J33" i="9" s="1"/>
  <c r="L35" i="9"/>
  <c r="L33" i="9" s="1"/>
  <c r="H35" i="9"/>
  <c r="H33" i="9" s="1"/>
  <c r="K35" i="9"/>
  <c r="K33" i="9" s="1"/>
  <c r="F35" i="9"/>
  <c r="P35" i="9"/>
  <c r="P33" i="9" s="1"/>
  <c r="D33" i="9"/>
  <c r="O19" i="9"/>
  <c r="O17" i="9" s="1"/>
  <c r="I19" i="9"/>
  <c r="I17" i="9" s="1"/>
  <c r="J19" i="9"/>
  <c r="J17" i="9" s="1"/>
  <c r="N19" i="9"/>
  <c r="N17" i="9" s="1"/>
  <c r="P19" i="9"/>
  <c r="P17" i="9" s="1"/>
  <c r="F19" i="9"/>
  <c r="M19" i="9"/>
  <c r="M17" i="9" s="1"/>
  <c r="G19" i="9"/>
  <c r="G17" i="9" s="1"/>
  <c r="K19" i="9"/>
  <c r="K17" i="9" s="1"/>
  <c r="L19" i="9"/>
  <c r="L17" i="9" s="1"/>
  <c r="H19" i="9"/>
  <c r="H17" i="9" s="1"/>
  <c r="G28" i="9"/>
  <c r="O28" i="9"/>
  <c r="M28" i="9"/>
  <c r="I28" i="9"/>
  <c r="J28" i="9"/>
  <c r="F28" i="9"/>
  <c r="N28" i="9"/>
  <c r="L28" i="9"/>
  <c r="H28" i="9"/>
  <c r="P28" i="9"/>
  <c r="K28" i="9"/>
  <c r="D17" i="9"/>
  <c r="E18" i="9"/>
  <c r="D32" i="9"/>
  <c r="D26" i="10"/>
  <c r="D23" i="10"/>
  <c r="D24" i="10"/>
  <c r="C32" i="11"/>
  <c r="C101" i="11" l="1"/>
  <c r="C100" i="11"/>
  <c r="D17" i="10"/>
  <c r="D29" i="9"/>
  <c r="K32" i="9"/>
  <c r="K29" i="9" s="1"/>
  <c r="N32" i="9"/>
  <c r="N29" i="9" s="1"/>
  <c r="I32" i="9"/>
  <c r="I29" i="9" s="1"/>
  <c r="F32" i="9"/>
  <c r="O32" i="9"/>
  <c r="O29" i="9" s="1"/>
  <c r="H32" i="9"/>
  <c r="H29" i="9" s="1"/>
  <c r="P32" i="9"/>
  <c r="P29" i="9" s="1"/>
  <c r="G32" i="9"/>
  <c r="G29" i="9" s="1"/>
  <c r="M32" i="9"/>
  <c r="M29" i="9" s="1"/>
  <c r="J32" i="9"/>
  <c r="J29" i="9" s="1"/>
  <c r="L32" i="9"/>
  <c r="L29" i="9" s="1"/>
  <c r="E19" i="9"/>
  <c r="C226" i="11" s="1"/>
  <c r="E35" i="9"/>
  <c r="F33" i="9"/>
  <c r="E28" i="9"/>
  <c r="C160" i="11" s="1"/>
  <c r="F17" i="9"/>
  <c r="E26" i="9"/>
  <c r="D27" i="9"/>
  <c r="C136" i="11" l="1"/>
  <c r="E33" i="9"/>
  <c r="C184" i="11"/>
  <c r="I27" i="9"/>
  <c r="O27" i="9"/>
  <c r="J27" i="9"/>
  <c r="G27" i="9"/>
  <c r="N27" i="9"/>
  <c r="H27" i="9"/>
  <c r="F27" i="9"/>
  <c r="M27" i="9"/>
  <c r="P27" i="9"/>
  <c r="L27" i="9"/>
  <c r="K27" i="9"/>
  <c r="E32" i="9"/>
  <c r="E29" i="9" s="1"/>
  <c r="C293" i="11" s="1"/>
  <c r="F29" i="9"/>
  <c r="E17" i="9"/>
  <c r="E27" i="9" l="1"/>
  <c r="C148" i="11" s="1"/>
  <c r="C124" i="11" s="1"/>
  <c r="C193" i="11" l="1"/>
  <c r="C211" i="11"/>
  <c r="C169" i="11"/>
  <c r="C109" i="11"/>
  <c r="C290" i="11" l="1"/>
  <c r="C251" i="11"/>
  <c r="D15" i="10"/>
  <c r="C239" i="11"/>
  <c r="D14" i="10" l="1"/>
  <c r="C278" i="11"/>
  <c r="D15" i="9"/>
  <c r="C133" i="11"/>
  <c r="C181" i="11"/>
  <c r="P15" i="9" l="1"/>
  <c r="F15" i="9"/>
  <c r="I15" i="9"/>
  <c r="J15" i="9"/>
  <c r="M15" i="9"/>
  <c r="N15" i="9"/>
  <c r="K15" i="9"/>
  <c r="G15" i="9"/>
  <c r="H15" i="9"/>
  <c r="O15" i="9"/>
  <c r="L15" i="9"/>
  <c r="C51" i="11"/>
  <c r="C157" i="11"/>
  <c r="E15" i="9" l="1"/>
  <c r="C33" i="11"/>
  <c r="C145" i="11"/>
  <c r="C121" i="11" s="1"/>
  <c r="C76" i="11" l="1"/>
  <c r="C141" i="5" s="1"/>
  <c r="C136" i="5" s="1"/>
  <c r="D16" i="9" l="1"/>
  <c r="H16" i="9" l="1"/>
  <c r="H14" i="9" s="1"/>
  <c r="I15" i="14" s="1"/>
  <c r="I16" i="14" s="1"/>
  <c r="G16" i="9"/>
  <c r="G14" i="9" s="1"/>
  <c r="H15" i="14" s="1"/>
  <c r="H16" i="14" s="1"/>
  <c r="F16" i="9"/>
  <c r="O16" i="9"/>
  <c r="O14" i="9" s="1"/>
  <c r="P15" i="14" s="1"/>
  <c r="L16" i="9"/>
  <c r="L14" i="9" s="1"/>
  <c r="M15" i="14" s="1"/>
  <c r="M16" i="14" s="1"/>
  <c r="M16" i="9"/>
  <c r="M14" i="9" s="1"/>
  <c r="N15" i="14" s="1"/>
  <c r="P16" i="9"/>
  <c r="P14" i="9" s="1"/>
  <c r="Q15" i="14" s="1"/>
  <c r="C74" i="13" s="1"/>
  <c r="K16" i="9"/>
  <c r="K14" i="9" s="1"/>
  <c r="L15" i="14" s="1"/>
  <c r="L16" i="14" s="1"/>
  <c r="J16" i="9"/>
  <c r="J14" i="9" s="1"/>
  <c r="K15" i="14" s="1"/>
  <c r="K16" i="14" s="1"/>
  <c r="N16" i="9"/>
  <c r="N14" i="9" s="1"/>
  <c r="O15" i="14" s="1"/>
  <c r="O16" i="14" s="1"/>
  <c r="I16" i="9"/>
  <c r="I14" i="9" s="1"/>
  <c r="J15" i="14" s="1"/>
  <c r="J16" i="14" s="1"/>
  <c r="D14" i="9"/>
  <c r="C43" i="13" l="1"/>
  <c r="P16" i="14"/>
  <c r="E16" i="9"/>
  <c r="F14" i="9"/>
  <c r="G15" i="14" s="1"/>
  <c r="G16" i="14" l="1"/>
  <c r="F15" i="14"/>
  <c r="C88" i="11"/>
  <c r="C64" i="11" s="1"/>
  <c r="C21" i="11" s="1"/>
  <c r="E14" i="9"/>
  <c r="E15" i="14" l="1"/>
  <c r="C35" i="13"/>
  <c r="C82" i="13" l="1"/>
  <c r="C77" i="13" s="1"/>
  <c r="C27" i="11"/>
  <c r="C30" i="11" l="1"/>
  <c r="C29" i="11"/>
  <c r="Q20" i="14"/>
  <c r="C62" i="13" s="1"/>
  <c r="C46" i="13" s="1"/>
  <c r="C28" i="11"/>
  <c r="C25" i="11"/>
  <c r="C89" i="13" s="1"/>
  <c r="N20" i="14" l="1"/>
  <c r="C85" i="11"/>
  <c r="C24" i="11"/>
  <c r="C22" i="13" l="1"/>
  <c r="C14" i="13" s="1"/>
  <c r="C11" i="13" s="1"/>
  <c r="F20" i="14"/>
  <c r="E20" i="14" s="1"/>
  <c r="C47" i="11" l="1"/>
  <c r="C88" i="13" l="1"/>
  <c r="C84" i="13" s="1"/>
  <c r="C76" i="13" s="1"/>
  <c r="C39" i="11"/>
  <c r="Q14" i="14" l="1"/>
  <c r="C48" i="11" s="1"/>
  <c r="Q16" i="14" l="1"/>
  <c r="C73" i="13"/>
  <c r="C67" i="13" s="1"/>
  <c r="C52" i="11" l="1"/>
  <c r="C38" i="11" l="1"/>
  <c r="C73" i="11" l="1"/>
  <c r="J12" i="16" l="1"/>
  <c r="C61" i="11"/>
  <c r="J11" i="16" l="1"/>
  <c r="S12" i="16"/>
  <c r="V12" i="16" s="1"/>
  <c r="C18" i="11"/>
  <c r="C11" i="11" s="1"/>
  <c r="S11" i="16" l="1"/>
  <c r="V11" i="16" s="1"/>
  <c r="J57" i="16"/>
  <c r="N14" i="14" l="1"/>
  <c r="C33" i="13" l="1"/>
  <c r="C29" i="13" s="1"/>
  <c r="C26" i="13" s="1"/>
  <c r="C25" i="13" s="1"/>
  <c r="C36" i="13" s="1"/>
  <c r="F14" i="14"/>
  <c r="N16" i="14"/>
  <c r="F16" i="14" l="1"/>
  <c r="E14" i="14"/>
  <c r="E16" i="14" s="1"/>
  <c r="N17" i="14" l="1"/>
  <c r="M43" i="10" s="1"/>
  <c r="M17" i="14"/>
  <c r="L43" i="10" s="1"/>
  <c r="K17" i="14"/>
  <c r="J43" i="10" s="1"/>
  <c r="J17" i="14"/>
  <c r="I43" i="10" s="1"/>
  <c r="I17" i="14"/>
  <c r="H43" i="10" s="1"/>
  <c r="L17" i="14"/>
  <c r="K43" i="10" s="1"/>
  <c r="O17" i="14"/>
  <c r="N43" i="10" s="1"/>
  <c r="Q17" i="14"/>
  <c r="P43" i="10" s="1"/>
  <c r="H17" i="14"/>
  <c r="G43" i="10" s="1"/>
  <c r="P17" i="14"/>
  <c r="O43" i="10" s="1"/>
  <c r="G17" i="14"/>
  <c r="P21" i="10" l="1"/>
  <c r="P29" i="10"/>
  <c r="P32" i="10"/>
  <c r="P41" i="10"/>
  <c r="P42" i="10"/>
  <c r="P15" i="10"/>
  <c r="P30" i="10"/>
  <c r="P25" i="10"/>
  <c r="P24" i="10"/>
  <c r="P16" i="10"/>
  <c r="P36" i="10"/>
  <c r="P27" i="10"/>
  <c r="P19" i="10"/>
  <c r="P22" i="10"/>
  <c r="P31" i="10"/>
  <c r="P38" i="10"/>
  <c r="P20" i="10"/>
  <c r="P23" i="10"/>
  <c r="P34" i="10"/>
  <c r="P18" i="10"/>
  <c r="P17" i="10" s="1"/>
  <c r="P26" i="10"/>
  <c r="P39" i="10"/>
  <c r="P35" i="10"/>
  <c r="P40" i="10"/>
  <c r="P28" i="10"/>
  <c r="F17" i="14"/>
  <c r="E17" i="14" s="1"/>
  <c r="F43" i="10"/>
  <c r="N23" i="10"/>
  <c r="N15" i="10"/>
  <c r="N38" i="10"/>
  <c r="N40" i="10"/>
  <c r="N27" i="10"/>
  <c r="N29" i="10"/>
  <c r="N24" i="10"/>
  <c r="N16" i="10"/>
  <c r="N22" i="10"/>
  <c r="N35" i="10"/>
  <c r="N42" i="10"/>
  <c r="N36" i="10"/>
  <c r="N31" i="10"/>
  <c r="N20" i="10"/>
  <c r="N25" i="10"/>
  <c r="N19" i="10"/>
  <c r="N18" i="10"/>
  <c r="N32" i="10"/>
  <c r="N39" i="10"/>
  <c r="N30" i="10"/>
  <c r="N21" i="10"/>
  <c r="N28" i="10"/>
  <c r="N26" i="10"/>
  <c r="N41" i="10"/>
  <c r="N34" i="10"/>
  <c r="N33" i="10" s="1"/>
  <c r="J30" i="10"/>
  <c r="J42" i="10"/>
  <c r="J22" i="10"/>
  <c r="J18" i="10"/>
  <c r="J23" i="10"/>
  <c r="J27" i="10"/>
  <c r="J15" i="10"/>
  <c r="J16" i="10"/>
  <c r="J36" i="10"/>
  <c r="J29" i="10"/>
  <c r="J19" i="10"/>
  <c r="J34" i="10"/>
  <c r="J33" i="10" s="1"/>
  <c r="J20" i="10"/>
  <c r="J25" i="10"/>
  <c r="J41" i="10"/>
  <c r="J24" i="10"/>
  <c r="J35" i="10"/>
  <c r="J21" i="10"/>
  <c r="J28" i="10"/>
  <c r="J38" i="10"/>
  <c r="J37" i="10" s="1"/>
  <c r="J26" i="10"/>
  <c r="J32" i="10"/>
  <c r="J40" i="10"/>
  <c r="J31" i="10"/>
  <c r="J39" i="10"/>
  <c r="I20" i="10"/>
  <c r="I21" i="10"/>
  <c r="I22" i="10"/>
  <c r="I29" i="10"/>
  <c r="I18" i="10"/>
  <c r="I34" i="10"/>
  <c r="I19" i="10"/>
  <c r="I24" i="10"/>
  <c r="I32" i="10"/>
  <c r="I26" i="10"/>
  <c r="I30" i="10"/>
  <c r="I35" i="10"/>
  <c r="I36" i="10"/>
  <c r="I42" i="10"/>
  <c r="I31" i="10"/>
  <c r="I28" i="10"/>
  <c r="I25" i="10"/>
  <c r="I40" i="10"/>
  <c r="I23" i="10"/>
  <c r="I38" i="10"/>
  <c r="I41" i="10"/>
  <c r="I39" i="10"/>
  <c r="I27" i="10"/>
  <c r="I16" i="10"/>
  <c r="I15" i="10"/>
  <c r="O42" i="10"/>
  <c r="O22" i="10"/>
  <c r="O40" i="10"/>
  <c r="O23" i="10"/>
  <c r="O32" i="10"/>
  <c r="O34" i="10"/>
  <c r="O20" i="10"/>
  <c r="O24" i="10"/>
  <c r="O29" i="10"/>
  <c r="O36" i="10"/>
  <c r="O15" i="10"/>
  <c r="O21" i="10"/>
  <c r="O25" i="10"/>
  <c r="O38" i="10"/>
  <c r="O31" i="10"/>
  <c r="O35" i="10"/>
  <c r="O26" i="10"/>
  <c r="O30" i="10"/>
  <c r="O16" i="10"/>
  <c r="O27" i="10"/>
  <c r="O28" i="10"/>
  <c r="O41" i="10"/>
  <c r="O19" i="10"/>
  <c r="O18" i="10"/>
  <c r="O39" i="10"/>
  <c r="K22" i="10"/>
  <c r="K42" i="10"/>
  <c r="K24" i="10"/>
  <c r="K31" i="10"/>
  <c r="K28" i="10"/>
  <c r="K19" i="10"/>
  <c r="K29" i="10"/>
  <c r="K41" i="10"/>
  <c r="K34" i="10"/>
  <c r="K35" i="10"/>
  <c r="K23" i="10"/>
  <c r="K40" i="10"/>
  <c r="K36" i="10"/>
  <c r="K30" i="10"/>
  <c r="K16" i="10"/>
  <c r="K20" i="10"/>
  <c r="K25" i="10"/>
  <c r="K26" i="10"/>
  <c r="K15" i="10"/>
  <c r="K21" i="10"/>
  <c r="K27" i="10"/>
  <c r="K39" i="10"/>
  <c r="K18" i="10"/>
  <c r="K38" i="10"/>
  <c r="K37" i="10" s="1"/>
  <c r="K32" i="10"/>
  <c r="L16" i="10"/>
  <c r="L34" i="10"/>
  <c r="L33" i="10" s="1"/>
  <c r="L25" i="10"/>
  <c r="L24" i="10"/>
  <c r="L36" i="10"/>
  <c r="L28" i="10"/>
  <c r="L39" i="10"/>
  <c r="L22" i="10"/>
  <c r="L15" i="10"/>
  <c r="L27" i="10"/>
  <c r="L21" i="10"/>
  <c r="L30" i="10"/>
  <c r="L35" i="10"/>
  <c r="L40" i="10"/>
  <c r="L41" i="10"/>
  <c r="L26" i="10"/>
  <c r="L20" i="10"/>
  <c r="L31" i="10"/>
  <c r="L23" i="10"/>
  <c r="L38" i="10"/>
  <c r="L37" i="10" s="1"/>
  <c r="L19" i="10"/>
  <c r="L42" i="10"/>
  <c r="L32" i="10"/>
  <c r="L18" i="10"/>
  <c r="L17" i="10" s="1"/>
  <c r="L29" i="10"/>
  <c r="G22" i="10"/>
  <c r="G27" i="10"/>
  <c r="G23" i="10"/>
  <c r="G32" i="10"/>
  <c r="G20" i="10"/>
  <c r="G15" i="10"/>
  <c r="G31" i="10"/>
  <c r="G16" i="10"/>
  <c r="G26" i="10"/>
  <c r="G28" i="10"/>
  <c r="G18" i="10"/>
  <c r="G17" i="10" s="1"/>
  <c r="G30" i="10"/>
  <c r="G39" i="10"/>
  <c r="G38" i="10"/>
  <c r="G29" i="10"/>
  <c r="G36" i="10"/>
  <c r="G24" i="10"/>
  <c r="G25" i="10"/>
  <c r="G42" i="10"/>
  <c r="G40" i="10"/>
  <c r="G34" i="10"/>
  <c r="G21" i="10"/>
  <c r="G41" i="10"/>
  <c r="G19" i="10"/>
  <c r="G35" i="10"/>
  <c r="H15" i="10"/>
  <c r="H19" i="10"/>
  <c r="H27" i="10"/>
  <c r="H30" i="10"/>
  <c r="H18" i="10"/>
  <c r="H35" i="10"/>
  <c r="H41" i="10"/>
  <c r="H38" i="10"/>
  <c r="H40" i="10"/>
  <c r="H21" i="10"/>
  <c r="H22" i="10"/>
  <c r="H24" i="10"/>
  <c r="H16" i="10"/>
  <c r="H25" i="10"/>
  <c r="H42" i="10"/>
  <c r="H32" i="10"/>
  <c r="H34" i="10"/>
  <c r="H39" i="10"/>
  <c r="H31" i="10"/>
  <c r="H28" i="10"/>
  <c r="H29" i="10"/>
  <c r="H26" i="10"/>
  <c r="H20" i="10"/>
  <c r="H36" i="10"/>
  <c r="H23" i="10"/>
  <c r="M20" i="10"/>
  <c r="M35" i="10"/>
  <c r="M24" i="10"/>
  <c r="M25" i="10"/>
  <c r="M22" i="10"/>
  <c r="M39" i="10"/>
  <c r="M28" i="10"/>
  <c r="M42" i="10"/>
  <c r="M26" i="10"/>
  <c r="M40" i="10"/>
  <c r="M32" i="10"/>
  <c r="M16" i="10"/>
  <c r="M15" i="10"/>
  <c r="M27" i="10"/>
  <c r="M34" i="10"/>
  <c r="M19" i="10"/>
  <c r="M30" i="10"/>
  <c r="M38" i="10"/>
  <c r="M18" i="10"/>
  <c r="M31" i="10"/>
  <c r="M29" i="10"/>
  <c r="M21" i="10"/>
  <c r="M41" i="10"/>
  <c r="M23" i="10"/>
  <c r="M36" i="10"/>
  <c r="K33" i="10" l="1"/>
  <c r="O37" i="10"/>
  <c r="O33" i="10"/>
  <c r="J17" i="10"/>
  <c r="J14" i="10" s="1"/>
  <c r="K18" i="14" s="1"/>
  <c r="K19" i="14" s="1"/>
  <c r="K22" i="14" s="1"/>
  <c r="N17" i="10"/>
  <c r="P37" i="10"/>
  <c r="H33" i="10"/>
  <c r="H17" i="10"/>
  <c r="G37" i="10"/>
  <c r="I33" i="10"/>
  <c r="F21" i="10"/>
  <c r="E21" i="10" s="1"/>
  <c r="C243" i="11" s="1"/>
  <c r="C232" i="11" s="1"/>
  <c r="F19" i="10"/>
  <c r="E19" i="10" s="1"/>
  <c r="C227" i="11" s="1"/>
  <c r="C216" i="11" s="1"/>
  <c r="F23" i="10"/>
  <c r="E23" i="10" s="1"/>
  <c r="C257" i="11" s="1"/>
  <c r="F38" i="10"/>
  <c r="F16" i="10"/>
  <c r="E16" i="10" s="1"/>
  <c r="C89" i="11" s="1"/>
  <c r="C78" i="11" s="1"/>
  <c r="E43" i="10"/>
  <c r="D43" i="10" s="1"/>
  <c r="F28" i="10"/>
  <c r="E28" i="10" s="1"/>
  <c r="C215" i="11" s="1"/>
  <c r="C204" i="11" s="1"/>
  <c r="F31" i="10"/>
  <c r="E31" i="10" s="1"/>
  <c r="C149" i="11" s="1"/>
  <c r="C138" i="11" s="1"/>
  <c r="F24" i="10"/>
  <c r="E24" i="10" s="1"/>
  <c r="C258" i="11" s="1"/>
  <c r="F41" i="10"/>
  <c r="E41" i="10" s="1"/>
  <c r="F40" i="10"/>
  <c r="E40" i="10" s="1"/>
  <c r="F35" i="10"/>
  <c r="E35" i="10" s="1"/>
  <c r="F26" i="10"/>
  <c r="E26" i="10" s="1"/>
  <c r="C260" i="11" s="1"/>
  <c r="F39" i="10"/>
  <c r="E39" i="10" s="1"/>
  <c r="F42" i="10"/>
  <c r="E42" i="10" s="1"/>
  <c r="F22" i="10"/>
  <c r="E22" i="10" s="1"/>
  <c r="C256" i="11" s="1"/>
  <c r="F29" i="10"/>
  <c r="E29" i="10" s="1"/>
  <c r="C173" i="11" s="1"/>
  <c r="C162" i="11" s="1"/>
  <c r="F15" i="10"/>
  <c r="F34" i="10"/>
  <c r="F20" i="10"/>
  <c r="E20" i="10" s="1"/>
  <c r="C113" i="11" s="1"/>
  <c r="C102" i="11" s="1"/>
  <c r="F27" i="10"/>
  <c r="E27" i="10" s="1"/>
  <c r="C197" i="11" s="1"/>
  <c r="C186" i="11" s="1"/>
  <c r="F32" i="10"/>
  <c r="E32" i="10" s="1"/>
  <c r="C161" i="11" s="1"/>
  <c r="C150" i="11" s="1"/>
  <c r="F36" i="10"/>
  <c r="E36" i="10" s="1"/>
  <c r="F25" i="10"/>
  <c r="E25" i="10" s="1"/>
  <c r="C259" i="11" s="1"/>
  <c r="F18" i="10"/>
  <c r="F30" i="10"/>
  <c r="E30" i="10" s="1"/>
  <c r="C137" i="11" s="1"/>
  <c r="P33" i="10"/>
  <c r="M17" i="10"/>
  <c r="M33" i="10"/>
  <c r="H37" i="10"/>
  <c r="G33" i="10"/>
  <c r="G14" i="10" s="1"/>
  <c r="H18" i="14" s="1"/>
  <c r="H19" i="14" s="1"/>
  <c r="K17" i="10"/>
  <c r="K14" i="10"/>
  <c r="L18" i="14" s="1"/>
  <c r="L19" i="14" s="1"/>
  <c r="L22" i="14" s="1"/>
  <c r="O17" i="10"/>
  <c r="I17" i="10"/>
  <c r="N37" i="10"/>
  <c r="N14" i="10" s="1"/>
  <c r="O18" i="14" s="1"/>
  <c r="O19" i="14" s="1"/>
  <c r="O22" i="14" s="1"/>
  <c r="P14" i="10"/>
  <c r="Q18" i="14" s="1"/>
  <c r="M37" i="10"/>
  <c r="M18" i="14"/>
  <c r="M19" i="14" s="1"/>
  <c r="M22" i="14" s="1"/>
  <c r="L14" i="10"/>
  <c r="O14" i="10"/>
  <c r="P18" i="14" s="1"/>
  <c r="I37" i="10"/>
  <c r="H14" i="10" l="1"/>
  <c r="I18" i="14" s="1"/>
  <c r="I19" i="14" s="1"/>
  <c r="E18" i="10"/>
  <c r="E17" i="10" s="1"/>
  <c r="C90" i="11" s="1"/>
  <c r="F17" i="10"/>
  <c r="C255" i="11"/>
  <c r="C244" i="11" s="1"/>
  <c r="F37" i="10"/>
  <c r="E38" i="10"/>
  <c r="I14" i="10"/>
  <c r="J18" i="14" s="1"/>
  <c r="J19" i="14" s="1"/>
  <c r="H22" i="14" s="1"/>
  <c r="E34" i="10"/>
  <c r="E33" i="10" s="1"/>
  <c r="C294" i="11" s="1"/>
  <c r="C283" i="11" s="1"/>
  <c r="F33" i="10"/>
  <c r="C282" i="11"/>
  <c r="C271" i="11" s="1"/>
  <c r="P19" i="14"/>
  <c r="P22" i="14" s="1"/>
  <c r="C49" i="11"/>
  <c r="C23" i="11" s="1"/>
  <c r="C92" i="13" s="1"/>
  <c r="C44" i="13"/>
  <c r="C41" i="13" s="1"/>
  <c r="C39" i="13" s="1"/>
  <c r="C75" i="13"/>
  <c r="C66" i="13" s="1"/>
  <c r="C45" i="13" s="1"/>
  <c r="Q19" i="14"/>
  <c r="Q22" i="14" s="1"/>
  <c r="M14" i="10"/>
  <c r="N18" i="14" s="1"/>
  <c r="N19" i="14" s="1"/>
  <c r="N22" i="14" s="1"/>
  <c r="C126" i="11"/>
  <c r="E15" i="10"/>
  <c r="C77" i="11" s="1"/>
  <c r="F14" i="10"/>
  <c r="G18" i="14" s="1"/>
  <c r="C65" i="11" l="1"/>
  <c r="C120" i="5"/>
  <c r="C119" i="5" s="1"/>
  <c r="C66" i="11"/>
  <c r="G19" i="14"/>
  <c r="G22" i="14" s="1"/>
  <c r="F18" i="14"/>
  <c r="E37" i="10"/>
  <c r="E14" i="10" s="1"/>
  <c r="C185" i="11"/>
  <c r="C54" i="11" l="1"/>
  <c r="C174" i="11"/>
  <c r="C125" i="11"/>
  <c r="C114" i="11" s="1"/>
  <c r="C37" i="13"/>
  <c r="C38" i="13" s="1"/>
  <c r="C96" i="13" s="1"/>
  <c r="E18" i="14"/>
  <c r="E19" i="14" s="1"/>
  <c r="F19" i="14"/>
  <c r="F22" i="14" s="1"/>
  <c r="E22" i="14" s="1"/>
  <c r="C53" i="11" l="1"/>
  <c r="C295" i="11" s="1"/>
  <c r="C22" i="11"/>
  <c r="C10" i="11" s="1"/>
  <c r="C97" i="13" l="1"/>
</calcChain>
</file>

<file path=xl/sharedStrings.xml><?xml version="1.0" encoding="utf-8"?>
<sst xmlns="http://schemas.openxmlformats.org/spreadsheetml/2006/main" count="4320" uniqueCount="1629">
  <si>
    <t>Ūkio subjektas: UAB "GRINDA"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</si>
  <si>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</si>
  <si>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</si>
  <si>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</si>
  <si>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</si>
  <si>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</si>
  <si>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</si>
  <si>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</si>
  <si>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</si>
  <si>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</si>
  <si>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</si>
  <si>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</si>
  <si>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</si>
  <si>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</si>
  <si>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</si>
  <si>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</si>
  <si>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</si>
  <si>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</si>
  <si>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</si>
  <si>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</si>
  <si>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</si>
  <si>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</si>
  <si>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</si>
  <si>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</si>
  <si>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</si>
  <si>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</si>
  <si>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</si>
  <si>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</si>
  <si>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</si>
  <si>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</si>
  <si>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</si>
  <si>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</si>
  <si>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</si>
  <si>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</si>
  <si>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</si>
  <si>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</si>
  <si>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</si>
  <si>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</si>
  <si>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</si>
  <si>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</si>
  <si>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</si>
  <si>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</si>
  <si>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</si>
  <si>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</si>
  <si>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</si>
  <si>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</si>
  <si>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</si>
  <si>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</si>
  <si>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</si>
  <si>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</si>
  <si>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</si>
  <si>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</si>
  <si>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</si>
  <si>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</si>
  <si>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</si>
  <si>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</si>
  <si>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</si>
  <si>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</si>
  <si>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</si>
  <si>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</si>
  <si>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</si>
  <si>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</si>
  <si>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</si>
  <si>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</si>
  <si>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</si>
  <si>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</si>
  <si>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</si>
  <si>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</si>
  <si>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</si>
  <si>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</si>
  <si>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</si>
  <si>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</si>
  <si>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</si>
  <si>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</si>
  <si>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</si>
  <si>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</si>
  <si>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</si>
  <si>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</si>
  <si>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</si>
  <si>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</si>
  <si>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</si>
  <si>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</si>
  <si>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</si>
  <si>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</si>
  <si>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</si>
  <si>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</si>
  <si>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</si>
  <si>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</si>
  <si>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</si>
  <si>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</si>
  <si>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</si>
  <si>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</si>
  <si>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</si>
  <si>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</si>
  <si>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</si>
  <si>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</si>
  <si>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</si>
  <si>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</si>
  <si>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</si>
  <si>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</si>
  <si>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</si>
  <si>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</si>
  <si>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</si>
  <si>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</si>
  <si>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</si>
  <si>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</si>
  <si>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</si>
  <si>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</si>
  <si>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</si>
  <si>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</si>
  <si>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</si>
  <si>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</si>
  <si>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</si>
  <si>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</si>
  <si>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</si>
  <si>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</si>
  <si>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</si>
  <si>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</si>
  <si>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</si>
  <si>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</si>
  <si>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</si>
  <si>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</si>
  <si>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</si>
  <si>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</si>
  <si>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</si>
  <si>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</si>
  <si>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</si>
  <si>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</si>
  <si>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</si>
  <si>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</si>
  <si>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</si>
  <si>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</si>
  <si>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</si>
  <si>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</si>
  <si>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</si>
  <si>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</si>
  <si>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</si>
  <si>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</si>
  <si>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</si>
  <si>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</si>
  <si>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</si>
  <si>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</si>
  <si>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</si>
  <si>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</si>
  <si>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</si>
  <si>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</si>
  <si>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</si>
  <si>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</si>
  <si>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</si>
  <si>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</si>
  <si>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</si>
  <si>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</si>
  <si>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</si>
  <si>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</si>
  <si>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</si>
  <si>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</si>
  <si>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</si>
  <si>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</si>
  <si>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</si>
  <si>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</si>
  <si>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</si>
  <si>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</si>
  <si>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</si>
  <si>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</si>
  <si>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</si>
  <si>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</si>
  <si>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</si>
  <si>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</si>
  <si>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</si>
  <si>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</si>
  <si>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</si>
  <si>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</si>
  <si>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</si>
  <si>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</si>
  <si>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</si>
  <si>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</si>
  <si>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</si>
  <si>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</si>
  <si>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</si>
  <si>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</si>
  <si>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</si>
  <si>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</si>
  <si>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</si>
  <si>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</si>
  <si>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</si>
  <si>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</si>
  <si>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</si>
  <si>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</si>
  <si>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</si>
  <si>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</si>
  <si>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</si>
  <si>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</si>
  <si>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</si>
  <si>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</si>
  <si>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</si>
  <si>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</si>
  <si>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</si>
  <si>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</si>
  <si>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</si>
  <si>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</si>
  <si>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</si>
  <si>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</si>
  <si>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</si>
  <si>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</si>
  <si>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</si>
  <si>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</si>
  <si>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</si>
  <si>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</si>
  <si>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</si>
  <si>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</si>
  <si>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</si>
  <si>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</si>
  <si>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</si>
  <si>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</si>
  <si>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</si>
  <si>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</si>
  <si>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</si>
  <si>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</si>
  <si>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</si>
  <si>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</si>
  <si>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</si>
  <si>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</si>
  <si>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</si>
  <si>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</si>
  <si>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</si>
  <si>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</si>
  <si>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</si>
  <si>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</si>
  <si>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</si>
  <si>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</si>
  <si>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</si>
  <si>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</si>
  <si>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</si>
  <si>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</si>
  <si>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</si>
  <si>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</si>
  <si>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</si>
  <si>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</si>
  <si>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</si>
  <si>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</si>
  <si>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</si>
  <si>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</si>
  <si>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</si>
  <si>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</si>
  <si>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</si>
  <si>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</si>
  <si>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</si>
  <si>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</si>
  <si>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</si>
  <si>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</si>
  <si>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</si>
  <si>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</si>
  <si>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</si>
  <si>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</si>
  <si>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</si>
  <si>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</si>
  <si>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</si>
  <si>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</si>
  <si>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</si>
  <si>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</si>
  <si>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</si>
  <si>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</si>
  <si>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</si>
  <si>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</si>
  <si>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</si>
  <si>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</si>
  <si>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</si>
  <si>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</si>
  <si>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</si>
  <si>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</si>
  <si>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</si>
  <si>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</si>
  <si>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</si>
  <si>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</si>
  <si>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</si>
  <si>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</si>
  <si>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</si>
  <si>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</si>
  <si>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</si>
  <si>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</si>
  <si>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</si>
  <si>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</si>
  <si>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</si>
  <si>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</si>
  <si>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</si>
  <si>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</si>
  <si>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</si>
  <si>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</si>
  <si>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</si>
  <si>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</si>
  <si>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</si>
  <si>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</si>
  <si>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</si>
  <si>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</si>
  <si>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</si>
  <si>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</si>
  <si>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</si>
  <si>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</si>
  <si>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</si>
  <si>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</si>
  <si>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</si>
  <si>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</si>
  <si>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</si>
  <si>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</si>
  <si>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</si>
  <si>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</si>
  <si>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</si>
  <si>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</si>
  <si>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</si>
  <si>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</si>
  <si>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</si>
  <si>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</si>
  <si>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</si>
  <si>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</si>
  <si>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</si>
  <si>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</si>
  <si>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</si>
  <si>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</si>
  <si>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</si>
  <si>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</si>
  <si>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</si>
  <si>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</si>
  <si>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</si>
  <si>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</si>
  <si>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</si>
  <si>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</si>
  <si>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</si>
  <si>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</si>
  <si>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</si>
  <si>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</si>
  <si>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</si>
  <si>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</si>
  <si>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</si>
  <si>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</si>
  <si>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</si>
  <si>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</si>
  <si>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</si>
  <si>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</si>
  <si>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</si>
  <si>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</si>
  <si>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</si>
  <si>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</si>
  <si>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</si>
  <si>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</si>
  <si>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</si>
  <si>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</si>
  <si>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</si>
  <si>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</si>
  <si>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</si>
  <si>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</si>
  <si>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</si>
  <si>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</si>
  <si>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</si>
  <si>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</si>
  <si>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</si>
  <si>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</si>
  <si>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</si>
  <si>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</si>
  <si>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</si>
  <si>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</si>
  <si>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</si>
  <si>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</si>
  <si>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</si>
  <si>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</si>
  <si>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</si>
  <si>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</si>
  <si>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</si>
  <si>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</si>
  <si>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</si>
  <si>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</si>
  <si>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</si>
  <si>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</si>
  <si>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</si>
  <si>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</si>
  <si>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</si>
  <si>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</si>
  <si>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</si>
  <si>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</si>
  <si>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</si>
  <si>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</si>
  <si>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</si>
  <si>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</si>
  <si>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</si>
  <si>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</si>
  <si>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</si>
  <si>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</si>
  <si>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</si>
  <si>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</si>
  <si>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</si>
  <si>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</si>
  <si>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</si>
  <si>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</si>
  <si>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</si>
  <si>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</si>
  <si>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</si>
  <si>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</si>
  <si>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</si>
  <si>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</si>
  <si>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</si>
  <si>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</si>
  <si>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</si>
  <si>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</si>
  <si>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</si>
  <si>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</si>
  <si>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</si>
  <si>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</si>
  <si>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</si>
  <si>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</si>
  <si>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</si>
  <si>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</si>
  <si>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</si>
  <si>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</si>
  <si>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</si>
  <si>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</si>
  <si>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</si>
  <si>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</si>
  <si>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</si>
  <si>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</si>
  <si>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</si>
  <si>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</si>
  <si>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</si>
  <si>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</si>
  <si>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</si>
  <si>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</si>
  <si>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</si>
  <si>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</si>
  <si>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</si>
  <si>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</si>
  <si>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</si>
  <si>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</si>
  <si>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</si>
  <si>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</si>
  <si>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</si>
  <si>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</si>
  <si>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</si>
  <si>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</si>
  <si>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</si>
  <si>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</si>
  <si>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</si>
  <si>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</si>
  <si>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</si>
  <si>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</si>
  <si>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</si>
  <si>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</si>
  <si>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</si>
  <si>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</si>
  <si>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</si>
  <si>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</si>
  <si>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</si>
  <si>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</si>
  <si>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</si>
  <si>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</si>
  <si>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</si>
  <si>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</si>
  <si>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</si>
  <si>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</si>
  <si>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</si>
  <si>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</si>
  <si>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</si>
  <si>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</si>
  <si>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</si>
  <si>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</si>
  <si>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</si>
  <si>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</si>
  <si>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</si>
  <si>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</si>
  <si>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</si>
  <si>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</si>
  <si>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</si>
  <si>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</si>
  <si>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</si>
  <si>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</si>
  <si>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</si>
  <si>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</si>
  <si>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</si>
  <si>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</si>
  <si>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</si>
  <si>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</si>
  <si>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</si>
  <si>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</si>
  <si>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</si>
  <si>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</si>
  <si>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</si>
  <si>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</si>
  <si>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</si>
  <si>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</si>
  <si>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</si>
  <si>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</si>
  <si>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</si>
  <si>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</si>
  <si>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</si>
  <si>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</si>
  <si>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</si>
  <si>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</si>
  <si>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</si>
  <si>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</si>
  <si>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</si>
  <si>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</si>
  <si>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</si>
  <si>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</si>
  <si>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</si>
  <si>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</si>
  <si>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</si>
  <si>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</si>
  <si>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</si>
  <si>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</si>
  <si>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</si>
  <si>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</si>
  <si>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</si>
  <si>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</si>
  <si>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</si>
  <si>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</si>
  <si>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</si>
  <si>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</si>
  <si>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</si>
  <si>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</si>
  <si>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</si>
  <si>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</si>
  <si>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</si>
  <si>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</si>
  <si>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</si>
  <si>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</si>
  <si>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</si>
  <si>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</si>
  <si>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</si>
  <si>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</si>
  <si>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</si>
  <si>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</si>
  <si>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</si>
  <si>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</si>
  <si>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</si>
  <si>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</si>
  <si>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</si>
  <si>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</si>
  <si>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</si>
  <si>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</si>
  <si>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</si>
  <si>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</si>
  <si>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</si>
  <si>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</si>
  <si>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</si>
  <si>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</si>
  <si>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</si>
  <si>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</si>
  <si>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</si>
  <si>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</si>
  <si>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</si>
  <si>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</si>
  <si>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</si>
  <si>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</si>
  <si>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</si>
  <si>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</si>
  <si>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</si>
  <si>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</si>
  <si>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</si>
  <si>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</si>
  <si>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</si>
  <si>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</si>
  <si>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</si>
  <si>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</si>
  <si>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</si>
  <si>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</si>
  <si>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</si>
  <si>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</si>
  <si>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</si>
  <si>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</si>
  <si>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</si>
  <si>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</si>
  <si>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</si>
  <si>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</si>
  <si>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</si>
  <si>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</si>
  <si>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</si>
  <si>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</si>
  <si>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</si>
  <si>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</si>
  <si>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</si>
  <si>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</si>
  <si>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</si>
  <si>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</si>
  <si>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</si>
  <si>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</si>
  <si>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</si>
  <si>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</si>
  <si>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</si>
  <si>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</si>
  <si>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</si>
  <si>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</si>
  <si>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</si>
  <si>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</si>
  <si>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</si>
  <si>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</si>
  <si>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</si>
  <si>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</si>
  <si>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</si>
  <si>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</si>
  <si>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</si>
  <si>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</si>
  <si>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</si>
  <si>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</si>
  <si>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</si>
  <si>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</si>
  <si>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</si>
  <si>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</si>
  <si>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</si>
  <si>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</si>
  <si>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</si>
  <si>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</si>
  <si>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</si>
  <si>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</si>
  <si>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</si>
  <si>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</si>
  <si>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</si>
  <si>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</si>
  <si>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</si>
  <si>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</si>
  <si>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</si>
  <si>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</si>
  <si>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</si>
  <si>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</si>
  <si>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</si>
  <si>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</si>
  <si>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</si>
  <si>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</si>
  <si>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</si>
  <si>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</si>
  <si>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</si>
  <si>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</si>
  <si>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</si>
  <si>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</si>
  <si>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</si>
  <si>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</si>
  <si>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</si>
  <si>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</si>
  <si>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</si>
  <si>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</si>
  <si>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</si>
  <si>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</si>
  <si>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</si>
  <si>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</si>
  <si>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</si>
  <si>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</si>
  <si>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</si>
  <si>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</si>
  <si>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</si>
  <si>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</si>
  <si>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</si>
  <si>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</si>
  <si>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</si>
  <si>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</si>
  <si>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</si>
  <si>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</si>
  <si>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</si>
  <si>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</si>
  <si>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</si>
  <si>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</si>
  <si>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</si>
  <si>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</si>
  <si>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</si>
  <si>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</si>
  <si>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</si>
  <si>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</si>
  <si>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</si>
  <si>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</si>
  <si>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</si>
  <si>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</si>
  <si>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</si>
  <si>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</si>
  <si>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</si>
  <si>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</si>
  <si>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</si>
  <si>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</si>
  <si>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</si>
  <si>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</si>
  <si>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</si>
  <si>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</si>
  <si>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</si>
  <si>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</si>
  <si>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</si>
  <si>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</si>
  <si>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</si>
  <si>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</si>
  <si>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</si>
  <si>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</si>
  <si>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</si>
  <si>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</si>
  <si>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</si>
  <si>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</si>
  <si>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</si>
  <si>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</si>
  <si>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</si>
  <si>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</si>
  <si>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</si>
  <si>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</si>
  <si>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</si>
  <si>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</si>
  <si>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</si>
  <si>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</si>
  <si>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</si>
  <si>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</si>
  <si>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</si>
  <si>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</si>
  <si>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</si>
  <si>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</si>
  <si>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</si>
  <si>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</si>
  <si>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</si>
  <si>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</si>
  <si>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</si>
  <si>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</si>
  <si>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</si>
  <si>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</si>
  <si>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</si>
  <si>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</si>
  <si>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</si>
  <si>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</si>
  <si>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</si>
  <si>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</si>
  <si>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</si>
  <si>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</si>
  <si>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</si>
  <si>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</si>
  <si>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</si>
  <si>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</si>
  <si>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</si>
  <si>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</si>
  <si>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</si>
  <si>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</si>
  <si>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</si>
  <si>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</si>
  <si>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</si>
  <si>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</si>
  <si>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</si>
  <si>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</si>
  <si>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</si>
  <si>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</si>
  <si>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</si>
  <si>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</si>
  <si>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</si>
  <si>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</si>
  <si>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</si>
  <si>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</si>
  <si>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</si>
  <si>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</si>
  <si>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</si>
  <si>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</si>
  <si>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</si>
  <si>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</si>
  <si>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</si>
  <si>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</si>
  <si>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</si>
  <si>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</si>
  <si>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</si>
  <si>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</si>
  <si>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</si>
  <si>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</si>
  <si>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</si>
  <si>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</si>
  <si>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</si>
  <si>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</si>
  <si>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</si>
  <si>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</si>
  <si>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</si>
  <si>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</si>
  <si>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</si>
  <si>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</si>
  <si>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</si>
  <si>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</si>
  <si>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</si>
  <si>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</si>
  <si>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</si>
  <si>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</si>
  <si>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</si>
  <si>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</si>
  <si>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</si>
  <si>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</si>
  <si>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</si>
  <si>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</si>
  <si>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</si>
  <si>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</si>
  <si>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</si>
  <si>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</si>
  <si>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</si>
  <si>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</si>
  <si>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</si>
  <si>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</si>
  <si>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</si>
  <si>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</si>
  <si>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</si>
  <si>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</si>
  <si>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</si>
  <si>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</si>
  <si>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</si>
  <si>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</si>
  <si>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</si>
  <si>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</si>
  <si>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</si>
  <si>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</si>
  <si>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</si>
  <si>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</si>
  <si>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</si>
  <si>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</si>
  <si>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</si>
  <si>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</si>
  <si>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</si>
  <si>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</si>
  <si>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</si>
  <si>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</si>
  <si>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</si>
  <si>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</si>
  <si>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</si>
  <si>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</si>
  <si>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</si>
  <si>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</si>
  <si>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</si>
  <si>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</si>
  <si>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</si>
  <si>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</si>
  <si>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</si>
  <si>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</si>
  <si>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</si>
  <si>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</si>
  <si>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</si>
  <si>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</si>
  <si>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</si>
  <si>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</si>
  <si>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</si>
  <si>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</si>
  <si>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</si>
  <si>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</si>
  <si>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</si>
  <si>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</si>
  <si>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</si>
  <si>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</si>
  <si>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</si>
  <si>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</si>
  <si>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</si>
  <si>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</si>
  <si>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</si>
  <si>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</si>
  <si>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</si>
  <si>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</si>
  <si>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</si>
  <si>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</si>
  <si>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</si>
  <si>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</si>
  <si>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</si>
  <si>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</si>
  <si>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</si>
  <si>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</si>
  <si>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</si>
  <si>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</si>
  <si>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</si>
  <si>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</si>
  <si>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</si>
  <si>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</si>
  <si>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</si>
  <si>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</si>
  <si>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</si>
  <si>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</si>
  <si>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</si>
  <si>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</si>
  <si>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</si>
  <si>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</si>
  <si>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</si>
  <si>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</si>
  <si>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</si>
  <si>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</si>
  <si>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</si>
  <si>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</si>
  <si>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</si>
  <si>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</si>
  <si>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</si>
  <si>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</si>
  <si>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</si>
  <si>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</si>
  <si>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</si>
  <si>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</si>
  <si>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</si>
  <si>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</si>
  <si>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</si>
  <si>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</si>
  <si>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</si>
  <si>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</si>
  <si>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</si>
  <si>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</si>
  <si>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</si>
  <si>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</si>
  <si>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</si>
  <si>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</si>
  <si>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</si>
  <si>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</si>
  <si>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</si>
  <si>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</si>
  <si>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</si>
  <si>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</si>
  <si>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</si>
  <si>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</si>
  <si>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</si>
  <si>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</si>
  <si>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</si>
  <si>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</si>
  <si>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</si>
  <si>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</si>
  <si>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</si>
  <si>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</si>
  <si>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</si>
  <si>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</si>
  <si>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</si>
  <si>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</si>
  <si>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</si>
  <si>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</si>
  <si>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</si>
  <si>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</si>
  <si>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</si>
  <si>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</si>
  <si>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</si>
  <si>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</si>
  <si>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</si>
  <si>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</si>
  <si>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</si>
  <si>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</si>
  <si>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</si>
  <si>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</si>
  <si>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</si>
  <si>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</si>
  <si>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</si>
  <si>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</si>
  <si>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</si>
  <si>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</si>
  <si>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</si>
  <si>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</si>
  <si>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</si>
  <si>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</si>
  <si>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</si>
  <si>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</si>
  <si>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</si>
  <si>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</si>
  <si>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</si>
  <si>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</si>
  <si>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</si>
  <si>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</si>
  <si>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</si>
  <si>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</si>
  <si>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</si>
  <si>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</si>
  <si>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</si>
  <si>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</si>
  <si>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</si>
  <si>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</si>
  <si>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</si>
  <si>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</si>
  <si>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</si>
  <si>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</si>
  <si>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</si>
  <si>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</si>
  <si>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</si>
  <si>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</si>
  <si>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</si>
  <si>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</si>
  <si>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</si>
  <si>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</si>
  <si>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</si>
  <si>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</si>
  <si>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</si>
  <si>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</si>
  <si>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</si>
  <si>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</si>
  <si>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</si>
  <si>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</si>
  <si>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</si>
  <si>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</si>
  <si>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</si>
  <si>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</si>
  <si>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</si>
  <si>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</si>
  <si>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</si>
  <si>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</si>
  <si>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</si>
  <si>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</si>
  <si>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</si>
  <si>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</si>
  <si>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</si>
  <si>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</si>
  <si>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</si>
  <si>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</si>
  <si>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</si>
  <si>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</si>
  <si>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</si>
  <si>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</si>
  <si>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</si>
  <si>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</si>
  <si>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</si>
  <si>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</si>
  <si>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</si>
  <si>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</si>
  <si>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</si>
  <si>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</si>
  <si>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</si>
  <si>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</si>
  <si>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</si>
  <si>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</si>
  <si>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</si>
  <si>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</si>
  <si>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</si>
  <si>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</si>
  <si>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</si>
  <si>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</si>
  <si>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</si>
  <si>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</si>
  <si>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</si>
  <si>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</si>
  <si>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</si>
  <si>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</si>
  <si>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</si>
  <si>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</si>
  <si>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</si>
  <si>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</si>
  <si>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</si>
  <si>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</si>
  <si>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</si>
  <si>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</si>
  <si>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</si>
  <si>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</si>
  <si>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</si>
  <si>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</si>
  <si>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</si>
  <si>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</si>
  <si>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</si>
  <si>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</si>
  <si>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</si>
  <si>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</si>
  <si>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</si>
  <si>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</si>
  <si>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</si>
  <si>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</si>
  <si>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</si>
  <si>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</si>
  <si>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</si>
  <si>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</si>
  <si>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</si>
  <si>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</si>
  <si>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</si>
  <si>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</si>
  <si>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</si>
  <si>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</si>
  <si>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</si>
  <si>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</si>
  <si>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</si>
  <si>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</si>
  <si>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</si>
  <si>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</si>
  <si>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</si>
  <si>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</si>
  <si>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</si>
  <si>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</si>
  <si>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</si>
  <si>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</si>
  <si>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</si>
  <si>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</si>
  <si>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</si>
  <si>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</si>
  <si>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</si>
  <si>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</si>
  <si>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</si>
  <si>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</si>
  <si>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</si>
  <si>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</si>
  <si>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</si>
  <si>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</si>
  <si>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</si>
  <si>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</si>
  <si>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</si>
  <si>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</si>
  <si>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</si>
  <si>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</si>
  <si>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</si>
  <si>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</si>
  <si>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</si>
  <si>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</si>
  <si>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</si>
  <si>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</si>
  <si>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</si>
  <si>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</si>
  <si>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</si>
  <si>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</si>
  <si>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</si>
  <si>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</si>
  <si>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</si>
  <si>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</si>
  <si>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</si>
  <si>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</si>
  <si>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</si>
  <si>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</si>
  <si>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</si>
  <si>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</si>
  <si>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</si>
  <si>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</si>
  <si>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</si>
  <si>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</si>
  <si>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</si>
  <si>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</si>
  <si>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</si>
  <si>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</si>
  <si>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</si>
  <si>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</si>
  <si>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</si>
  <si>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</si>
  <si>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</si>
  <si>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</si>
  <si>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</si>
  <si>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</si>
  <si>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</si>
  <si>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</si>
  <si>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</si>
  <si>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</si>
  <si>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</si>
  <si>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</si>
  <si>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</si>
  <si>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</si>
  <si>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</si>
  <si>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</si>
  <si>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</si>
  <si>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</si>
  <si>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</si>
  <si>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</si>
  <si>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</si>
  <si>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</si>
  <si>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</si>
  <si>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</si>
  <si>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</si>
  <si>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</si>
  <si>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</si>
  <si>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</si>
  <si>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</si>
  <si>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</si>
  <si>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</si>
  <si>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</si>
  <si>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</si>
  <si>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</si>
  <si>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</si>
  <si>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</si>
  <si>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</si>
  <si>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</si>
  <si>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</si>
  <si>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</si>
  <si>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</si>
  <si>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</si>
  <si>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</si>
  <si>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</si>
  <si>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</si>
  <si>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</si>
  <si>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</si>
  <si>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</si>
  <si>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</si>
  <si>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</si>
  <si>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</si>
  <si>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</si>
  <si>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</si>
  <si>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</si>
  <si>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</si>
  <si>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</si>
  <si>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</si>
  <si>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</si>
  <si>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</si>
  <si>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</si>
  <si>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</si>
  <si>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</si>
  <si>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</si>
  <si>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</si>
  <si>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</si>
  <si>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</si>
  <si>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</si>
  <si>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</si>
  <si>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</si>
  <si>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</si>
  <si>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</si>
  <si>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</si>
  <si>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</si>
  <si>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</si>
  <si>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</si>
  <si>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</si>
  <si>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</si>
  <si>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</si>
  <si>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</si>
  <si>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</si>
  <si>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</si>
  <si>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</si>
  <si>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</si>
  <si>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</si>
  <si>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</si>
  <si>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</si>
  <si>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</si>
  <si>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</si>
  <si>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</si>
  <si>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</si>
  <si>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</si>
  <si>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</si>
  <si>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</si>
  <si>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</si>
  <si>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</si>
  <si>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</si>
  <si>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</si>
  <si>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</si>
  <si>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</si>
  <si>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</si>
  <si>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</si>
  <si>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</si>
  <si>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</si>
  <si>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</si>
  <si>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</si>
  <si>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</si>
  <si>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</si>
  <si>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</si>
  <si>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</si>
  <si>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</si>
  <si>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</si>
  <si>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</si>
  <si>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</si>
  <si>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</si>
  <si>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</si>
  <si>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</si>
  <si>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</si>
  <si>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</si>
  <si>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</si>
  <si>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</si>
  <si>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</si>
  <si>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</si>
  <si>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</si>
  <si>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</si>
  <si>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</si>
  <si>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</si>
  <si>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</si>
  <si>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</si>
  <si>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</si>
  <si>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</si>
  <si>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</si>
  <si>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</si>
  <si>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</si>
  <si>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</si>
  <si>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</si>
  <si>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</si>
  <si>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</si>
  <si>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</si>
  <si>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</si>
  <si>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</si>
  <si>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</si>
  <si>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</si>
  <si>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</si>
  <si>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</si>
  <si>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</si>
  <si>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</si>
  <si>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</si>
  <si>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</si>
  <si>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</si>
  <si>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</si>
  <si>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</si>
  <si>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</si>
  <si>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</si>
  <si>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</si>
  <si>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</si>
  <si>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</si>
  <si>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</si>
  <si>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</si>
  <si>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</si>
  <si>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</si>
  <si>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</si>
  <si>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</si>
  <si>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</si>
  <si>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</si>
  <si>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</si>
  <si>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</si>
  <si>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</si>
  <si>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</si>
  <si>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</si>
  <si>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</si>
  <si>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</si>
  <si>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</si>
  <si>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</si>
  <si>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</si>
  <si>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</si>
  <si>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</si>
  <si>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</si>
  <si>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</si>
  <si>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</si>
  <si>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</si>
  <si>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</si>
  <si>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</si>
  <si>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</si>
  <si>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</si>
  <si>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</si>
  <si>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</si>
  <si>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</si>
  <si>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</si>
  <si>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</si>
  <si>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</si>
  <si>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</si>
  <si>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</si>
  <si>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</si>
  <si>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</si>
  <si>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</si>
  <si>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</si>
  <si>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</si>
  <si>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</si>
  <si>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</si>
  <si>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</si>
  <si>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</si>
  <si>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</si>
  <si>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</si>
  <si>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</si>
  <si>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</si>
  <si>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</si>
  <si>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</si>
  <si>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</si>
  <si>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</si>
  <si>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</si>
  <si>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</si>
  <si>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</si>
  <si>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</si>
  <si>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</si>
  <si>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</si>
  <si>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</si>
  <si>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</si>
  <si>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</si>
  <si>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</si>
  <si>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</si>
  <si>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</si>
  <si>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</si>
  <si>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</si>
  <si>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</si>
  <si>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</si>
  <si>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</si>
  <si>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</si>
  <si>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</si>
  <si>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</si>
  <si>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</si>
  <si>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</si>
  <si>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</si>
  <si>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</si>
  <si>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</si>
  <si>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</si>
  <si>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</si>
  <si>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</si>
  <si>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</si>
  <si>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</si>
  <si>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</si>
  <si>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</si>
  <si>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</si>
  <si>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</si>
  <si>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</si>
  <si>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</si>
  <si>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</si>
  <si>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</si>
  <si>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</si>
  <si>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</si>
  <si>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</si>
  <si>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</si>
  <si>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</si>
  <si>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</si>
  <si>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</si>
  <si>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</si>
  <si>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</si>
  <si>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</si>
  <si>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</si>
  <si>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</si>
  <si>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</si>
  <si>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</si>
  <si>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</si>
  <si>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</si>
  <si>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</si>
  <si>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</si>
  <si>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</si>
  <si>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</si>
  <si>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</si>
  <si>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</si>
  <si>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</si>
  <si>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</si>
  <si>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</si>
  <si>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</si>
  <si>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</si>
  <si>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</si>
  <si>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</si>
  <si>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</si>
  <si>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</si>
  <si>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</si>
  <si>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</si>
  <si>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</si>
  <si>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</si>
  <si>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</si>
  <si>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</si>
  <si>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</si>
  <si>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</si>
  <si>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</si>
  <si>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</si>
  <si>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</si>
  <si>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</si>
  <si>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</si>
  <si>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</si>
  <si>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</si>
  <si>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</si>
  <si>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</si>
  <si>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</si>
  <si>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</si>
  <si>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</si>
  <si>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</si>
  <si>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</si>
  <si>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</si>
  <si>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</si>
  <si>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</si>
  <si>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</si>
  <si>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</si>
  <si>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</si>
  <si>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</si>
  <si>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</si>
  <si>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</si>
  <si>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</si>
  <si>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</si>
  <si>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</si>
  <si>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</si>
  <si>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</si>
  <si>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</si>
  <si>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</si>
  <si>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</si>
  <si>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</si>
  <si>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</si>
  <si>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</si>
  <si>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</si>
  <si>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</si>
  <si>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</si>
  <si>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</si>
  <si>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</si>
  <si>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</si>
  <si>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</si>
  <si>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</si>
  <si>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</si>
  <si>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</si>
  <si>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</si>
  <si>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</si>
  <si>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</si>
  <si>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</si>
  <si>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</si>
  <si>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</si>
  <si>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</si>
  <si>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</si>
  <si>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</si>
  <si>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</si>
  <si>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</si>
  <si>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</si>
  <si>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</si>
  <si>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</si>
  <si>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</si>
  <si>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</si>
  <si>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</si>
  <si>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</si>
  <si>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</si>
  <si>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</si>
  <si>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</si>
  <si>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</si>
  <si>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</si>
  <si>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</si>
  <si>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</si>
  <si>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</si>
  <si>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</si>
  <si>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</si>
  <si>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</si>
  <si>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</si>
  <si>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</si>
  <si>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</si>
  <si>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</si>
  <si>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</si>
  <si>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</si>
  <si>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</si>
  <si>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</si>
  <si>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</si>
  <si>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</si>
  <si>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</si>
  <si>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</si>
  <si>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</si>
  <si>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</si>
  <si>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</si>
  <si>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</si>
  <si>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</si>
  <si>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</si>
  <si>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</si>
  <si>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20...- 20... bazinių m. planas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</si>
  <si>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</si>
  <si>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</si>
  <si>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</si>
  <si>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</si>
  <si>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</si>
  <si>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</si>
  <si>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</si>
  <si>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</si>
  <si>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</si>
  <si>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</si>
  <si>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</si>
  <si>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</si>
  <si>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</si>
  <si>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</si>
  <si>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</si>
  <si>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</si>
  <si>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</si>
  <si>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</si>
  <si>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</si>
  <si>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</si>
  <si>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</si>
  <si>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</si>
  <si>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</si>
  <si>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</si>
  <si>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</si>
  <si>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</si>
  <si>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</si>
  <si>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</si>
  <si>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</si>
  <si>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</si>
  <si>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</si>
  <si>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</si>
  <si>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</si>
  <si>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</si>
  <si>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</si>
  <si>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</si>
  <si>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</si>
  <si>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</si>
  <si>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</si>
  <si>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</si>
  <si>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</si>
  <si>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</si>
  <si>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</si>
  <si>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</si>
  <si>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</si>
  <si>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</si>
  <si>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</si>
  <si>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</si>
  <si>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</si>
  <si>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</si>
  <si>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</si>
  <si>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</si>
  <si>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</si>
  <si>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</si>
  <si>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</si>
  <si>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</si>
  <si>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</si>
  <si>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</si>
  <si>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</si>
  <si>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</si>
  <si>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</si>
  <si>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</si>
  <si>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</si>
  <si>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</si>
  <si>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</si>
  <si>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</si>
  <si>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</si>
  <si>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</si>
  <si>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</si>
  <si>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</si>
  <si>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</si>
  <si>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</si>
  <si>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</si>
  <si>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</si>
  <si>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</si>
  <si>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</si>
  <si>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</si>
  <si>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</si>
  <si>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</si>
  <si>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</si>
  <si>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</si>
  <si>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</si>
  <si>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</si>
  <si>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</si>
  <si>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</si>
  <si>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</si>
  <si>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</si>
  <si>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</si>
  <si>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</si>
  <si>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</si>
  <si>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</si>
  <si>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</si>
  <si>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</si>
  <si>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</si>
  <si>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</si>
  <si>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</si>
  <si>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</si>
  <si>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</si>
  <si>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</si>
  <si>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</si>
  <si>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</si>
  <si>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</si>
  <si>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</si>
  <si>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</si>
  <si>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</si>
  <si>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</si>
  <si>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</si>
  <si>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</si>
  <si>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</si>
  <si>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</si>
  <si>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</si>
  <si>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</si>
  <si>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</si>
  <si>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</si>
  <si>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2017 m.</t>
  </si>
  <si>
    <t>2018 m.</t>
  </si>
  <si>
    <t>2017 bazinių m. planas</t>
  </si>
  <si>
    <t>2018 bazinių m. planas</t>
  </si>
  <si>
    <t>2019 bazinių m. planas</t>
  </si>
  <si>
    <t>2019 m.</t>
  </si>
  <si>
    <t>2017 - 2020 m.</t>
  </si>
  <si>
    <t>Lietaus nuotekynės įrengimas Šeškinės komplekso prieigose. T. Narbuto-Saltoniškių gatvių lietaus nuotekynės rekonstrukcija su valyklos ir taršos monitoringo mazgo įrengimu</t>
  </si>
  <si>
    <t xml:space="preserve">Geležinio Vilko lietaus nuotekynės kolektoriaus rekonstrukcija su kaupyklų-valyklų ir taršos monitoringo mazgų įrengimu </t>
  </si>
  <si>
    <t>Karoliniškių lietaus nuotekų valymo įrenginių rekonstrukcija</t>
  </si>
  <si>
    <t>Vilniaus miesto lietaus nuotekynės tinklų inventorizavimas, duomenų skaitmenizavimas ir įregistravimas</t>
  </si>
  <si>
    <t>Lietaus nuotekų tinklo įrengimas Markučių gyvenamajame rajone</t>
  </si>
  <si>
    <t xml:space="preserve">Vilkpėdės gatvės lietaus nuotekyno kolektoriaus rekonstrukcija </t>
  </si>
  <si>
    <t>Savanorių - Giraitės gatvių lietaus nuotekyno rekonstrukcija su valyklos ir taršos monitoringo mazgo įrengimu</t>
  </si>
  <si>
    <t>Savanorių – Račių gatvių lietaus nuotekyno rekonstrukcija su valyklomis ir monitoringo mazgo įrengimu</t>
  </si>
  <si>
    <t xml:space="preserve">Verkių - Kareivių  gatvių lietaus nuotekyno rekonstrukcija iki išleistuvo Nr. 1-37-15 su valyklos ir taršos monitoringo mazgo įrengimu </t>
  </si>
  <si>
    <t xml:space="preserve">Lietaus nuotekų tinklo įrengimas Markučių gyvenamajame rajone. Vilkpėdės gatvės lietaus nuotekyno kolektoriaus rekonstrukcija </t>
  </si>
  <si>
    <t>Lietaus nuotekynės įrengimas Šeškinės komplekso prieigose</t>
  </si>
  <si>
    <t>T. Narbuto-Saltoniškių gatvių lietaus nuotekynės rekonstrukcija su valyklos ir taršos monitoringo mazgo įrengimu</t>
  </si>
  <si>
    <t>Geodispečerio programinės įrangos įdiegimas</t>
  </si>
  <si>
    <t>Mažosios mechanizacijos įsigijimas</t>
  </si>
  <si>
    <t>Išramstymo klojinių pirkimas</t>
  </si>
  <si>
    <t>Šilo gatvės lietaus nuotakyno renovacija 585 m</t>
  </si>
  <si>
    <t>Liudvinavo valymo įrenginių statybos užbaigimas</t>
  </si>
  <si>
    <t>Laboratorinės įrangos įsigijimui</t>
  </si>
  <si>
    <t>Informacinės sistemos "Gis Online" įdiegimas</t>
  </si>
  <si>
    <t>Vilkpėdės ir Naujamiesčio mikrorajonų (Savanorių - Giraitės gatvių) lietaus nuotakyno rekonstrukcija su valyklos ir taršos monitoringo mazgo įrengimu (1-142-131)</t>
  </si>
  <si>
    <t>Nuosavo turto atstatomieji darbai (Naftos/smėlio signalizatorius Labko SolarSET 2000)</t>
  </si>
  <si>
    <t>nuo pajamų</t>
  </si>
  <si>
    <t>Pagal pajamas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</si>
</sst>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5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60">
    <xf numFmtId="0" fontId="0" fillId="0" borderId="0" xfId="0"/>
    <xf numFmtId="0" fontId="0" fillId="0" borderId="4" xfId="0" applyBorder="1"/>
    <xf numFmtId="0" fontId="3" fillId="0" borderId="0" xfId="0" applyFont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4" fontId="5" fillId="3" borderId="10" xfId="0" applyNumberFormat="1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4" fontId="7" fillId="2" borderId="12" xfId="0" applyNumberFormat="1" applyFont="1" applyFill="1" applyBorder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2" fontId="8" fillId="0" borderId="12" xfId="0" applyNumberFormat="1" applyFont="1" applyBorder="1" applyProtection="1">
      <protection locked="0"/>
    </xf>
    <xf numFmtId="2" fontId="7" fillId="0" borderId="12" xfId="0" applyNumberFormat="1" applyFont="1" applyBorder="1" applyProtection="1">
      <protection locked="0"/>
    </xf>
    <xf numFmtId="0" fontId="9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4" fontId="10" fillId="2" borderId="12" xfId="0" applyNumberFormat="1" applyFont="1" applyFill="1" applyBorder="1"/>
    <xf numFmtId="0" fontId="11" fillId="2" borderId="13" xfId="0" applyFont="1" applyFill="1" applyBorder="1" applyAlignment="1">
      <alignment horizontal="left" vertical="center"/>
    </xf>
    <xf numFmtId="2" fontId="4" fillId="0" borderId="12" xfId="0" applyNumberFormat="1" applyFont="1" applyBorder="1" applyProtection="1">
      <protection locked="0"/>
    </xf>
    <xf numFmtId="0" fontId="9" fillId="2" borderId="13" xfId="0" applyFont="1" applyFill="1" applyBorder="1" applyAlignment="1">
      <alignment horizontal="left" vertical="center"/>
    </xf>
    <xf numFmtId="4" fontId="9" fillId="2" borderId="12" xfId="0" applyNumberFormat="1" applyFont="1" applyFill="1" applyBorder="1"/>
    <xf numFmtId="0" fontId="5" fillId="2" borderId="13" xfId="0" applyFont="1" applyFill="1" applyBorder="1" applyAlignment="1">
      <alignment horizontal="left" vertical="center"/>
    </xf>
    <xf numFmtId="4" fontId="5" fillId="2" borderId="12" xfId="0" applyNumberFormat="1" applyFont="1" applyFill="1" applyBorder="1"/>
    <xf numFmtId="2" fontId="11" fillId="0" borderId="12" xfId="0" applyNumberFormat="1" applyFont="1" applyBorder="1" applyProtection="1">
      <protection locked="0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2" fontId="7" fillId="0" borderId="15" xfId="0" applyNumberFormat="1" applyFont="1" applyBorder="1" applyProtection="1">
      <protection locked="0"/>
    </xf>
    <xf numFmtId="0" fontId="5" fillId="2" borderId="16" xfId="0" applyFont="1" applyFill="1" applyBorder="1" applyAlignment="1">
      <alignment horizontal="left" vertical="center"/>
    </xf>
    <xf numFmtId="4" fontId="5" fillId="2" borderId="17" xfId="0" applyNumberFormat="1" applyFont="1" applyFill="1" applyBorder="1"/>
    <xf numFmtId="4" fontId="5" fillId="2" borderId="10" xfId="0" applyNumberFormat="1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/>
    </xf>
    <xf numFmtId="4" fontId="5" fillId="2" borderId="18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4" fontId="15" fillId="2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7" fillId="2" borderId="25" xfId="0" applyFont="1" applyFill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locked="0"/>
    </xf>
    <xf numFmtId="0" fontId="12" fillId="2" borderId="12" xfId="0" applyFont="1" applyFill="1" applyBorder="1" applyAlignment="1">
      <alignment horizontal="right" vertical="center"/>
    </xf>
    <xf numFmtId="164" fontId="12" fillId="0" borderId="26" xfId="0" applyNumberFormat="1" applyFont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6" fontId="7" fillId="2" borderId="25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right" vertical="center"/>
    </xf>
    <xf numFmtId="0" fontId="12" fillId="2" borderId="12" xfId="0" applyFont="1" applyFill="1" applyBorder="1" applyAlignment="1">
      <alignment horizontal="right" vertical="center" wrapText="1"/>
    </xf>
    <xf numFmtId="1" fontId="12" fillId="3" borderId="26" xfId="0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5" xfId="0" applyBorder="1"/>
    <xf numFmtId="0" fontId="5" fillId="2" borderId="21" xfId="0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164" fontId="7" fillId="0" borderId="29" xfId="0" applyNumberFormat="1" applyFont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7" fillId="2" borderId="28" xfId="0" applyFont="1" applyFill="1" applyBorder="1" applyAlignment="1">
      <alignment horizontal="right" vertical="center"/>
    </xf>
    <xf numFmtId="1" fontId="7" fillId="2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164" fontId="12" fillId="0" borderId="26" xfId="0" applyNumberFormat="1" applyFont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Border="1" applyAlignment="1" applyProtection="1">
      <alignment vertical="center"/>
      <protection locked="0"/>
    </xf>
    <xf numFmtId="0" fontId="12" fillId="2" borderId="25" xfId="0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3" fontId="12" fillId="0" borderId="26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 hidden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hidden="1"/>
    </xf>
    <xf numFmtId="164" fontId="7" fillId="0" borderId="24" xfId="0" applyNumberFormat="1" applyFont="1" applyBorder="1" applyAlignment="1" applyProtection="1">
      <alignment horizontal="right" vertical="center"/>
      <protection locked="0"/>
    </xf>
    <xf numFmtId="164" fontId="7" fillId="0" borderId="26" xfId="0" applyNumberFormat="1" applyFont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>
      <alignment horizontal="right" vertical="center"/>
    </xf>
    <xf numFmtId="164" fontId="7" fillId="0" borderId="38" xfId="0" applyNumberFormat="1" applyFont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0" borderId="29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6" fontId="7" fillId="0" borderId="26" xfId="0" applyNumberFormat="1" applyFon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164" fontId="7" fillId="2" borderId="4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3" fontId="30" fillId="2" borderId="31" xfId="0" applyNumberFormat="1" applyFont="1" applyFill="1" applyBorder="1" applyAlignment="1">
      <alignment horizontal="center" vertical="center"/>
    </xf>
    <xf numFmtId="3" fontId="32" fillId="0" borderId="26" xfId="0" applyNumberFormat="1" applyFont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>
      <alignment vertical="center"/>
    </xf>
    <xf numFmtId="3" fontId="33" fillId="0" borderId="26" xfId="0" applyNumberFormat="1" applyFont="1" applyBorder="1" applyAlignment="1" applyProtection="1">
      <alignment vertical="center"/>
      <protection locked="0"/>
    </xf>
    <xf numFmtId="0" fontId="12" fillId="2" borderId="32" xfId="0" applyFont="1" applyFill="1" applyBorder="1" applyAlignment="1">
      <alignment horizontal="center" vertical="center"/>
    </xf>
    <xf numFmtId="164" fontId="12" fillId="2" borderId="28" xfId="0" applyNumberFormat="1" applyFont="1" applyFill="1" applyBorder="1" applyAlignment="1">
      <alignment horizontal="center" vertical="center"/>
    </xf>
    <xf numFmtId="3" fontId="33" fillId="0" borderId="29" xfId="0" applyNumberFormat="1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hidden="1"/>
    </xf>
    <xf numFmtId="0" fontId="36" fillId="2" borderId="23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3" fontId="36" fillId="0" borderId="24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6" fillId="2" borderId="25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3" fontId="36" fillId="0" borderId="26" xfId="0" applyNumberFormat="1" applyFont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hidden="1"/>
    </xf>
    <xf numFmtId="0" fontId="38" fillId="2" borderId="25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right" vertical="center"/>
    </xf>
    <xf numFmtId="0" fontId="38" fillId="2" borderId="12" xfId="0" applyFont="1" applyFill="1" applyBorder="1" applyAlignment="1">
      <alignment horizontal="center" vertical="center"/>
    </xf>
    <xf numFmtId="3" fontId="38" fillId="0" borderId="26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6" fillId="2" borderId="32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3" fontId="36" fillId="0" borderId="29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3" fontId="36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>
      <alignment horizontal="center" vertical="center"/>
    </xf>
    <xf numFmtId="4" fontId="45" fillId="2" borderId="0" xfId="0" applyNumberFormat="1" applyFont="1" applyFill="1"/>
    <xf numFmtId="4" fontId="12" fillId="0" borderId="13" xfId="0" applyNumberFormat="1" applyFont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" fontId="5" fillId="0" borderId="50" xfId="0" applyNumberFormat="1" applyFont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4" fontId="5" fillId="3" borderId="34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28" xfId="0" applyNumberFormat="1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 applyProtection="1">
      <alignment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Border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164" fontId="7" fillId="0" borderId="53" xfId="0" applyNumberFormat="1" applyFon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>
      <alignment horizontal="right" vertical="center"/>
    </xf>
    <xf numFmtId="0" fontId="9" fillId="2" borderId="44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/>
    </xf>
    <xf numFmtId="0" fontId="46" fillId="2" borderId="68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left" vertical="center" wrapText="1"/>
    </xf>
    <xf numFmtId="1" fontId="46" fillId="2" borderId="69" xfId="0" applyNumberFormat="1" applyFont="1" applyFill="1" applyBorder="1" applyAlignment="1">
      <alignment horizontal="center" vertical="center" wrapText="1"/>
    </xf>
    <xf numFmtId="2" fontId="46" fillId="2" borderId="69" xfId="0" applyNumberFormat="1" applyFont="1" applyFill="1" applyBorder="1" applyAlignment="1">
      <alignment horizontal="center" vertical="center"/>
    </xf>
    <xf numFmtId="1" fontId="46" fillId="2" borderId="69" xfId="0" applyNumberFormat="1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 wrapText="1"/>
    </xf>
    <xf numFmtId="0" fontId="46" fillId="2" borderId="70" xfId="0" applyFont="1" applyFill="1" applyBorder="1" applyAlignment="1">
      <alignment horizontal="center" vertical="center" wrapText="1"/>
    </xf>
    <xf numFmtId="2" fontId="46" fillId="2" borderId="7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1" fontId="46" fillId="2" borderId="10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2" fontId="46" fillId="2" borderId="24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8" fillId="0" borderId="12" xfId="0" applyNumberFormat="1" applyFont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4" fontId="6" fillId="0" borderId="63" xfId="0" applyNumberFormat="1" applyFont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>
      <alignment horizontal="center" vertical="center"/>
    </xf>
    <xf numFmtId="4" fontId="8" fillId="2" borderId="63" xfId="0" applyNumberFormat="1" applyFont="1" applyFill="1" applyBorder="1" applyAlignment="1">
      <alignment horizontal="center" vertical="center" wrapText="1"/>
    </xf>
    <xf numFmtId="4" fontId="8" fillId="0" borderId="63" xfId="0" applyNumberFormat="1" applyFont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>
      <alignment horizontal="center" vertical="center"/>
    </xf>
    <xf numFmtId="4" fontId="6" fillId="0" borderId="72" xfId="0" applyNumberFormat="1" applyFont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>
      <alignment horizontal="center" vertical="center"/>
    </xf>
    <xf numFmtId="4" fontId="8" fillId="0" borderId="72" xfId="0" applyNumberFormat="1" applyFont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1" fontId="7" fillId="2" borderId="73" xfId="0" applyNumberFormat="1" applyFont="1" applyFill="1" applyBorder="1" applyAlignment="1">
      <alignment horizontal="center" vertical="center"/>
    </xf>
    <xf numFmtId="4" fontId="6" fillId="0" borderId="73" xfId="0" applyNumberFormat="1" applyFont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>
      <alignment horizontal="center" vertical="center"/>
    </xf>
    <xf numFmtId="4" fontId="8" fillId="2" borderId="73" xfId="0" applyNumberFormat="1" applyFont="1" applyFill="1" applyBorder="1" applyAlignment="1">
      <alignment horizontal="center" vertical="center" wrapText="1"/>
    </xf>
    <xf numFmtId="4" fontId="8" fillId="0" borderId="73" xfId="0" applyNumberFormat="1" applyFont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 applyProtection="1">
      <alignment horizontal="center" vertical="center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>
      <alignment horizontal="center" vertic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>
      <alignment horizontal="center" vertical="center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vertical="center" wrapText="1"/>
    </xf>
    <xf numFmtId="1" fontId="46" fillId="2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 wrapText="1"/>
    </xf>
    <xf numFmtId="4" fontId="46" fillId="0" borderId="17" xfId="0" applyNumberFormat="1" applyFont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>
      <alignment horizontal="center" vertical="center"/>
    </xf>
    <xf numFmtId="2" fontId="46" fillId="2" borderId="75" xfId="0" applyNumberFormat="1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>
      <alignment vertical="center"/>
    </xf>
    <xf numFmtId="1" fontId="16" fillId="0" borderId="12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Border="1" applyAlignment="1" applyProtection="1">
      <alignment vertical="justify"/>
      <protection locked="0"/>
    </xf>
    <xf numFmtId="3" fontId="16" fillId="0" borderId="13" xfId="0" applyNumberFormat="1" applyFont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>
      <alignment vertical="justify"/>
    </xf>
    <xf numFmtId="1" fontId="7" fillId="0" borderId="15" xfId="0" applyNumberFormat="1" applyFont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>
      <alignment vertical="center"/>
    </xf>
    <xf numFmtId="1" fontId="16" fillId="0" borderId="15" xfId="0" applyNumberFormat="1" applyFont="1" applyBorder="1" applyAlignment="1" applyProtection="1">
      <alignment vertical="center"/>
      <protection locked="0"/>
    </xf>
    <xf numFmtId="0" fontId="4" fillId="2" borderId="15" xfId="0" applyFont="1" applyFill="1" applyBorder="1" applyAlignment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16" fillId="0" borderId="15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vertical="justify"/>
      <protection locked="0"/>
    </xf>
    <xf numFmtId="3" fontId="16" fillId="0" borderId="50" xfId="0" applyNumberFormat="1" applyFont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>
      <alignment horizontal="center" vertical="center"/>
    </xf>
    <xf numFmtId="2" fontId="16" fillId="2" borderId="26" xfId="0" applyNumberFormat="1" applyFont="1" applyFill="1" applyBorder="1" applyAlignment="1">
      <alignment vertical="justify"/>
    </xf>
    <xf numFmtId="0" fontId="46" fillId="2" borderId="7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vertical="center" wrapText="1"/>
    </xf>
    <xf numFmtId="1" fontId="46" fillId="2" borderId="18" xfId="0" applyNumberFormat="1" applyFont="1" applyFill="1" applyBorder="1" applyAlignment="1">
      <alignment horizontal="center" vertical="center"/>
    </xf>
    <xf numFmtId="4" fontId="46" fillId="0" borderId="18" xfId="0" applyNumberFormat="1" applyFont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 wrapText="1"/>
    </xf>
    <xf numFmtId="3" fontId="46" fillId="2" borderId="18" xfId="0" applyNumberFormat="1" applyFont="1" applyFill="1" applyBorder="1" applyAlignment="1">
      <alignment horizontal="center" vertical="center"/>
    </xf>
    <xf numFmtId="4" fontId="46" fillId="0" borderId="18" xfId="0" applyNumberFormat="1" applyFont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vertical="center"/>
    </xf>
    <xf numFmtId="2" fontId="16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2" fontId="15" fillId="2" borderId="26" xfId="0" applyNumberFormat="1" applyFont="1" applyFill="1" applyBorder="1" applyAlignment="1">
      <alignment horizontal="right" vertical="center" wrapText="1"/>
    </xf>
    <xf numFmtId="1" fontId="7" fillId="2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left" vertical="center" wrapText="1"/>
    </xf>
    <xf numFmtId="2" fontId="46" fillId="2" borderId="18" xfId="0" applyNumberFormat="1" applyFont="1" applyFill="1" applyBorder="1" applyAlignment="1">
      <alignment horizontal="center" vertical="center"/>
    </xf>
    <xf numFmtId="0" fontId="46" fillId="2" borderId="61" xfId="0" applyFont="1" applyFill="1" applyBorder="1" applyAlignment="1">
      <alignment horizontal="center" vertical="center"/>
    </xf>
    <xf numFmtId="1" fontId="46" fillId="2" borderId="44" xfId="0" applyNumberFormat="1" applyFont="1" applyFill="1" applyBorder="1" applyAlignment="1">
      <alignment horizontal="center" vertical="center"/>
    </xf>
    <xf numFmtId="2" fontId="46" fillId="2" borderId="44" xfId="0" applyNumberFormat="1" applyFont="1" applyFill="1" applyBorder="1" applyAlignment="1">
      <alignment horizontal="center" vertical="center"/>
    </xf>
    <xf numFmtId="0" fontId="46" fillId="2" borderId="44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 wrapText="1"/>
    </xf>
    <xf numFmtId="2" fontId="46" fillId="2" borderId="8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vertical="center"/>
    </xf>
    <xf numFmtId="4" fontId="16" fillId="2" borderId="12" xfId="0" applyNumberFormat="1" applyFont="1" applyFill="1" applyBorder="1" applyAlignment="1">
      <alignment vertical="justify"/>
    </xf>
    <xf numFmtId="4" fontId="16" fillId="2" borderId="13" xfId="0" applyNumberFormat="1" applyFont="1" applyFill="1" applyBorder="1" applyAlignment="1">
      <alignment vertical="justify"/>
    </xf>
    <xf numFmtId="4" fontId="16" fillId="2" borderId="26" xfId="0" applyNumberFormat="1" applyFont="1" applyFill="1" applyBorder="1" applyAlignment="1">
      <alignment vertical="justify"/>
    </xf>
    <xf numFmtId="4" fontId="4" fillId="2" borderId="12" xfId="0" applyNumberFormat="1" applyFont="1" applyFill="1" applyBorder="1" applyAlignment="1">
      <alignment horizontal="right" vertical="center"/>
    </xf>
    <xf numFmtId="1" fontId="4" fillId="2" borderId="15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vertical="center"/>
    </xf>
    <xf numFmtId="4" fontId="16" fillId="2" borderId="15" xfId="0" applyNumberFormat="1" applyFont="1" applyFill="1" applyBorder="1" applyAlignment="1">
      <alignment vertical="justify"/>
    </xf>
    <xf numFmtId="4" fontId="16" fillId="2" borderId="50" xfId="0" applyNumberFormat="1" applyFont="1" applyFill="1" applyBorder="1" applyAlignment="1">
      <alignment vertical="justify"/>
    </xf>
    <xf numFmtId="4" fontId="16" fillId="2" borderId="51" xfId="0" applyNumberFormat="1" applyFont="1" applyFill="1" applyBorder="1" applyAlignment="1">
      <alignment vertical="justify"/>
    </xf>
    <xf numFmtId="1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1" fontId="4" fillId="2" borderId="28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right" vertical="center"/>
    </xf>
    <xf numFmtId="4" fontId="16" fillId="2" borderId="28" xfId="0" applyNumberFormat="1" applyFont="1" applyFill="1" applyBorder="1" applyAlignment="1">
      <alignment vertical="justify"/>
    </xf>
    <xf numFmtId="4" fontId="16" fillId="2" borderId="53" xfId="0" applyNumberFormat="1" applyFont="1" applyFill="1" applyBorder="1" applyAlignment="1">
      <alignment vertical="justify"/>
    </xf>
    <xf numFmtId="4" fontId="16" fillId="2" borderId="29" xfId="0" applyNumberFormat="1" applyFont="1" applyFill="1" applyBorder="1" applyAlignment="1">
      <alignment vertical="justify"/>
    </xf>
    <xf numFmtId="0" fontId="4" fillId="0" borderId="0" xfId="0" applyFont="1" applyAlignment="1">
      <alignment horizontal="left" vertical="center"/>
    </xf>
    <xf numFmtId="2" fontId="47" fillId="2" borderId="51" xfId="0" applyNumberFormat="1" applyFont="1" applyFill="1" applyBorder="1" applyAlignment="1">
      <alignment vertical="justify"/>
    </xf>
    <xf numFmtId="4" fontId="7" fillId="2" borderId="10" xfId="0" applyNumberFormat="1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vertical="center"/>
    </xf>
    <xf numFmtId="2" fontId="15" fillId="2" borderId="51" xfId="0" applyNumberFormat="1" applyFont="1" applyFill="1" applyBorder="1" applyAlignment="1">
      <alignment horizontal="right" vertical="center" wrapText="1"/>
    </xf>
    <xf numFmtId="2" fontId="46" fillId="2" borderId="67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>
      <alignment horizontal="center"/>
    </xf>
    <xf numFmtId="4" fontId="12" fillId="0" borderId="26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4" fontId="7" fillId="0" borderId="26" xfId="0" applyNumberFormat="1" applyFont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 applyProtection="1">
      <alignment horizont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 applyProtection="1">
      <alignment horizontal="center"/>
      <protection locked="0"/>
    </xf>
    <xf numFmtId="0" fontId="7" fillId="2" borderId="28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6" fillId="2" borderId="28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8" fillId="2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2" borderId="30" xfId="0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/>
    </xf>
    <xf numFmtId="4" fontId="13" fillId="3" borderId="25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justify"/>
    </xf>
    <xf numFmtId="0" fontId="7" fillId="2" borderId="13" xfId="0" applyFont="1" applyFill="1" applyBorder="1" applyAlignment="1">
      <alignment horizontal="left" vertical="center" wrapText="1"/>
    </xf>
    <xf numFmtId="4" fontId="9" fillId="3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2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4" fillId="2" borderId="85" xfId="0" applyFont="1" applyFill="1" applyBorder="1" applyAlignment="1">
      <alignment vertical="justify"/>
    </xf>
    <xf numFmtId="0" fontId="7" fillId="2" borderId="1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>
      <alignment vertical="center"/>
    </xf>
    <xf numFmtId="1" fontId="7" fillId="0" borderId="12" xfId="0" applyNumberFormat="1" applyFont="1" applyBorder="1" applyAlignment="1" applyProtection="1">
      <alignment vertical="justify"/>
      <protection locked="0"/>
    </xf>
    <xf numFmtId="1" fontId="7" fillId="0" borderId="26" xfId="0" applyNumberFormat="1" applyFont="1" applyBorder="1" applyAlignment="1" applyProtection="1">
      <alignment vertical="justify"/>
      <protection locked="0"/>
    </xf>
    <xf numFmtId="1" fontId="7" fillId="0" borderId="23" xfId="0" applyNumberFormat="1" applyFont="1" applyBorder="1" applyAlignment="1" applyProtection="1">
      <alignment vertical="justify"/>
      <protection locked="0"/>
    </xf>
    <xf numFmtId="1" fontId="7" fillId="0" borderId="24" xfId="0" applyNumberFormat="1" applyFont="1" applyBorder="1" applyAlignment="1" applyProtection="1">
      <alignment vertical="justify"/>
      <protection locked="0"/>
    </xf>
    <xf numFmtId="0" fontId="7" fillId="3" borderId="25" xfId="0" applyFont="1" applyFill="1" applyBorder="1" applyAlignment="1">
      <alignment vertical="center"/>
    </xf>
    <xf numFmtId="1" fontId="7" fillId="0" borderId="25" xfId="0" applyNumberFormat="1" applyFont="1" applyBorder="1" applyAlignment="1" applyProtection="1">
      <alignment vertical="justify"/>
      <protection locked="0"/>
    </xf>
    <xf numFmtId="0" fontId="4" fillId="2" borderId="85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 wrapText="1"/>
      <protection locked="0"/>
    </xf>
    <xf numFmtId="1" fontId="7" fillId="0" borderId="37" xfId="0" applyNumberFormat="1" applyFont="1" applyBorder="1" applyAlignment="1" applyProtection="1">
      <alignment vertical="center"/>
      <protection locked="0"/>
    </xf>
    <xf numFmtId="1" fontId="7" fillId="0" borderId="37" xfId="0" applyNumberFormat="1" applyFont="1" applyBorder="1" applyAlignment="1" applyProtection="1">
      <alignment vertical="justify"/>
      <protection locked="0"/>
    </xf>
    <xf numFmtId="1" fontId="7" fillId="0" borderId="38" xfId="0" applyNumberFormat="1" applyFont="1" applyBorder="1" applyAlignment="1" applyProtection="1">
      <alignment vertical="justify"/>
      <protection locked="0"/>
    </xf>
    <xf numFmtId="1" fontId="7" fillId="0" borderId="36" xfId="0" applyNumberFormat="1" applyFont="1" applyBorder="1" applyAlignment="1" applyProtection="1">
      <alignment vertical="justify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>
      <alignment vertical="center"/>
    </xf>
    <xf numFmtId="1" fontId="7" fillId="0" borderId="28" xfId="0" applyNumberFormat="1" applyFont="1" applyBorder="1" applyAlignment="1" applyProtection="1">
      <alignment vertical="center"/>
      <protection locked="0"/>
    </xf>
    <xf numFmtId="1" fontId="7" fillId="0" borderId="28" xfId="0" applyNumberFormat="1" applyFont="1" applyBorder="1" applyAlignment="1" applyProtection="1">
      <alignment vertical="justify"/>
      <protection locked="0"/>
    </xf>
    <xf numFmtId="1" fontId="7" fillId="0" borderId="29" xfId="0" applyNumberFormat="1" applyFont="1" applyBorder="1" applyAlignment="1" applyProtection="1">
      <alignment vertical="justify"/>
      <protection locked="0"/>
    </xf>
    <xf numFmtId="1" fontId="7" fillId="0" borderId="32" xfId="0" applyNumberFormat="1" applyFont="1" applyBorder="1" applyAlignment="1" applyProtection="1">
      <alignment vertical="justify"/>
      <protection locked="0"/>
    </xf>
    <xf numFmtId="0" fontId="4" fillId="2" borderId="87" xfId="0" applyFont="1" applyFill="1" applyBorder="1" applyAlignment="1">
      <alignment vertical="justify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49" fontId="4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left" vertical="center"/>
    </xf>
    <xf numFmtId="4" fontId="13" fillId="3" borderId="24" xfId="0" applyNumberFormat="1" applyFont="1" applyFill="1" applyBorder="1" applyAlignment="1">
      <alignment horizontal="center" vertical="center"/>
    </xf>
    <xf numFmtId="4" fontId="13" fillId="3" borderId="72" xfId="0" applyNumberFormat="1" applyFont="1" applyFill="1" applyBorder="1" applyAlignment="1">
      <alignment horizontal="center" vertical="center"/>
    </xf>
    <xf numFmtId="4" fontId="13" fillId="3" borderId="64" xfId="0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/>
    </xf>
    <xf numFmtId="4" fontId="9" fillId="0" borderId="24" xfId="0" applyNumberFormat="1" applyFont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justify"/>
    </xf>
    <xf numFmtId="0" fontId="7" fillId="3" borderId="12" xfId="0" applyFont="1" applyFill="1" applyBorder="1" applyAlignment="1">
      <alignment vertical="center"/>
    </xf>
    <xf numFmtId="4" fontId="9" fillId="3" borderId="25" xfId="0" applyNumberFormat="1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vertical="center"/>
    </xf>
    <xf numFmtId="4" fontId="9" fillId="3" borderId="13" xfId="0" applyNumberFormat="1" applyFont="1" applyFill="1" applyBorder="1" applyAlignment="1">
      <alignment vertical="center"/>
    </xf>
    <xf numFmtId="4" fontId="9" fillId="3" borderId="25" xfId="0" applyNumberFormat="1" applyFont="1" applyFill="1" applyBorder="1" applyAlignment="1">
      <alignment vertical="center"/>
    </xf>
    <xf numFmtId="4" fontId="9" fillId="3" borderId="26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/>
    </xf>
    <xf numFmtId="4" fontId="7" fillId="3" borderId="25" xfId="0" applyNumberFormat="1" applyFont="1" applyFill="1" applyBorder="1" applyAlignment="1">
      <alignment horizontal="center" vertical="center"/>
    </xf>
    <xf numFmtId="4" fontId="7" fillId="3" borderId="72" xfId="0" applyNumberFormat="1" applyFont="1" applyFill="1" applyBorder="1" applyAlignment="1">
      <alignment vertical="center"/>
    </xf>
    <xf numFmtId="4" fontId="7" fillId="3" borderId="40" xfId="0" applyNumberFormat="1" applyFont="1" applyFill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4" fontId="7" fillId="3" borderId="26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0" borderId="38" xfId="0" applyNumberFormat="1" applyFont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>
      <alignment vertical="justify"/>
    </xf>
    <xf numFmtId="0" fontId="7" fillId="3" borderId="53" xfId="0" applyFont="1" applyFill="1" applyBorder="1" applyAlignment="1">
      <alignment horizontal="left" vertical="center" wrapText="1"/>
    </xf>
    <xf numFmtId="1" fontId="9" fillId="3" borderId="32" xfId="0" applyNumberFormat="1" applyFont="1" applyFill="1" applyBorder="1" applyAlignment="1">
      <alignment horizontal="center" vertical="center"/>
    </xf>
    <xf numFmtId="167" fontId="7" fillId="0" borderId="28" xfId="0" applyNumberFormat="1" applyFont="1" applyBorder="1" applyAlignment="1" applyProtection="1">
      <alignment vertical="center"/>
      <protection locked="0"/>
    </xf>
    <xf numFmtId="167" fontId="7" fillId="0" borderId="53" xfId="0" applyNumberFormat="1" applyFont="1" applyBorder="1" applyAlignment="1" applyProtection="1">
      <alignment vertical="center"/>
      <protection locked="0"/>
    </xf>
    <xf numFmtId="167" fontId="7" fillId="0" borderId="32" xfId="0" applyNumberFormat="1" applyFont="1" applyBorder="1" applyAlignment="1" applyProtection="1">
      <alignment vertical="center"/>
      <protection locked="0"/>
    </xf>
    <xf numFmtId="167" fontId="7" fillId="0" borderId="29" xfId="0" applyNumberFormat="1" applyFont="1" applyBorder="1" applyAlignment="1" applyProtection="1">
      <alignment vertical="center"/>
      <protection locked="0"/>
    </xf>
    <xf numFmtId="0" fontId="4" fillId="3" borderId="87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/>
    <xf numFmtId="0" fontId="27" fillId="0" borderId="0" xfId="0" applyFont="1"/>
    <xf numFmtId="0" fontId="5" fillId="2" borderId="21" xfId="0" applyFont="1" applyFill="1" applyBorder="1" applyAlignment="1">
      <alignment horizontal="center" vertical="center" wrapText="1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4" fontId="5" fillId="3" borderId="53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 wrapText="1"/>
    </xf>
    <xf numFmtId="4" fontId="5" fillId="3" borderId="89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 wrapText="1"/>
    </xf>
    <xf numFmtId="4" fontId="7" fillId="0" borderId="34" xfId="0" applyNumberFormat="1" applyFont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12" fillId="2" borderId="12" xfId="0" applyFont="1" applyFill="1" applyBorder="1" applyAlignment="1">
      <alignment horizontal="right" wrapText="1"/>
    </xf>
    <xf numFmtId="0" fontId="12" fillId="2" borderId="10" xfId="0" applyFont="1" applyFill="1" applyBorder="1" applyAlignment="1">
      <alignment horizontal="right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37" xfId="0" applyNumberFormat="1" applyFont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>
      <alignment horizontal="right" wrapText="1"/>
    </xf>
    <xf numFmtId="4" fontId="7" fillId="0" borderId="28" xfId="0" applyNumberFormat="1" applyFont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right" wrapText="1"/>
    </xf>
    <xf numFmtId="4" fontId="7" fillId="0" borderId="66" xfId="0" applyNumberFormat="1" applyFont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hidden="1"/>
    </xf>
    <xf numFmtId="0" fontId="5" fillId="3" borderId="31" xfId="0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 locked="0"/>
    </xf>
    <xf numFmtId="4" fontId="7" fillId="0" borderId="13" xfId="0" applyNumberFormat="1" applyFont="1" applyBorder="1" applyAlignment="1" applyProtection="1">
      <alignment vertical="center"/>
      <protection locked="0"/>
    </xf>
    <xf numFmtId="4" fontId="7" fillId="0" borderId="53" xfId="0" applyNumberFormat="1" applyFont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right" vertical="center" wrapText="1"/>
    </xf>
    <xf numFmtId="4" fontId="7" fillId="0" borderId="37" xfId="0" applyNumberFormat="1" applyFont="1" applyBorder="1" applyAlignment="1" applyProtection="1">
      <alignment vertical="center"/>
      <protection locked="0"/>
    </xf>
    <xf numFmtId="0" fontId="7" fillId="3" borderId="3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5" fillId="2" borderId="55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 hidden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4" fontId="12" fillId="0" borderId="53" xfId="0" applyNumberFormat="1" applyFont="1" applyBorder="1" applyAlignment="1" applyProtection="1">
      <alignment horizontal="right" vertical="center"/>
      <protection locked="0"/>
    </xf>
    <xf numFmtId="4" fontId="7" fillId="0" borderId="53" xfId="0" applyNumberFormat="1" applyFont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Border="1" applyAlignment="1" applyProtection="1">
      <alignment horizontal="center"/>
      <protection locked="0"/>
    </xf>
    <xf numFmtId="3" fontId="54" fillId="0" borderId="63" xfId="0" applyNumberFormat="1" applyFont="1" applyBorder="1" applyAlignment="1" applyProtection="1">
      <alignment horizontal="center"/>
      <protection locked="0"/>
    </xf>
    <xf numFmtId="3" fontId="54" fillId="0" borderId="10" xfId="0" applyNumberFormat="1" applyFont="1" applyBorder="1" applyAlignment="1" applyProtection="1">
      <alignment horizontal="center"/>
      <protection locked="0"/>
    </xf>
    <xf numFmtId="3" fontId="54" fillId="0" borderId="1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Protection="1">
      <protection locked="0"/>
    </xf>
    <xf numFmtId="3" fontId="7" fillId="0" borderId="30" xfId="0" applyNumberFormat="1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Border="1" applyAlignment="1" applyProtection="1">
      <alignment horizontal="center"/>
      <protection locked="0"/>
    </xf>
    <xf numFmtId="3" fontId="54" fillId="0" borderId="62" xfId="0" applyNumberFormat="1" applyFont="1" applyBorder="1" applyAlignment="1" applyProtection="1">
      <alignment horizontal="center"/>
      <protection locked="0"/>
    </xf>
    <xf numFmtId="3" fontId="54" fillId="0" borderId="37" xfId="0" applyNumberFormat="1" applyFont="1" applyBorder="1" applyAlignment="1" applyProtection="1">
      <alignment horizontal="center"/>
      <protection locked="0"/>
    </xf>
    <xf numFmtId="3" fontId="54" fillId="0" borderId="44" xfId="0" applyNumberFormat="1" applyFont="1" applyBorder="1" applyAlignment="1" applyProtection="1">
      <alignment horizontal="center"/>
      <protection locked="0"/>
    </xf>
    <xf numFmtId="3" fontId="54" fillId="0" borderId="14" xfId="0" applyNumberFormat="1" applyFont="1" applyBorder="1" applyAlignment="1" applyProtection="1">
      <alignment horizontal="center"/>
      <protection locked="0"/>
    </xf>
    <xf numFmtId="3" fontId="7" fillId="0" borderId="43" xfId="0" applyNumberFormat="1" applyFont="1" applyBorder="1" applyProtection="1">
      <protection locked="0"/>
    </xf>
    <xf numFmtId="3" fontId="7" fillId="0" borderId="36" xfId="0" applyNumberFormat="1" applyFont="1" applyBorder="1" applyProtection="1">
      <protection locked="0"/>
    </xf>
    <xf numFmtId="3" fontId="7" fillId="0" borderId="38" xfId="0" applyNumberFormat="1" applyFont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168" fontId="5" fillId="3" borderId="11" xfId="0" applyNumberFormat="1" applyFont="1" applyFill="1" applyBorder="1" applyAlignment="1">
      <alignment horizontal="right" vertical="center"/>
    </xf>
    <xf numFmtId="0" fontId="56" fillId="2" borderId="24" xfId="0" applyFont="1" applyFill="1" applyBorder="1" applyAlignment="1">
      <alignment vertical="center"/>
    </xf>
    <xf numFmtId="168" fontId="7" fillId="0" borderId="13" xfId="0" applyNumberFormat="1" applyFont="1" applyBorder="1" applyProtection="1">
      <protection locked="0"/>
    </xf>
    <xf numFmtId="0" fontId="56" fillId="2" borderId="26" xfId="0" applyFont="1" applyFill="1" applyBorder="1" applyAlignment="1">
      <alignment horizontal="center" vertical="center"/>
    </xf>
    <xf numFmtId="168" fontId="7" fillId="0" borderId="13" xfId="0" applyNumberFormat="1" applyFont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/>
    </xf>
    <xf numFmtId="168" fontId="8" fillId="0" borderId="13" xfId="0" applyNumberFormat="1" applyFont="1" applyBorder="1" applyProtection="1">
      <protection locked="0"/>
    </xf>
    <xf numFmtId="0" fontId="56" fillId="2" borderId="26" xfId="0" applyFont="1" applyFill="1" applyBorder="1" applyAlignment="1">
      <alignment vertical="center"/>
    </xf>
    <xf numFmtId="168" fontId="8" fillId="3" borderId="13" xfId="0" applyNumberFormat="1" applyFont="1" applyFill="1" applyBorder="1"/>
    <xf numFmtId="168" fontId="6" fillId="0" borderId="13" xfId="0" applyNumberFormat="1" applyFont="1" applyBorder="1" applyProtection="1"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Protection="1">
      <protection locked="0"/>
    </xf>
    <xf numFmtId="4" fontId="7" fillId="3" borderId="13" xfId="0" applyNumberFormat="1" applyFont="1" applyFill="1" applyBorder="1"/>
    <xf numFmtId="4" fontId="8" fillId="0" borderId="13" xfId="0" applyNumberFormat="1" applyFont="1" applyBorder="1" applyProtection="1"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0" fontId="56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/>
    </xf>
    <xf numFmtId="4" fontId="8" fillId="0" borderId="13" xfId="0" applyNumberFormat="1" applyFont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Protection="1">
      <protection locked="0"/>
    </xf>
    <xf numFmtId="0" fontId="4" fillId="2" borderId="25" xfId="0" applyFont="1" applyFill="1" applyBorder="1" applyAlignment="1">
      <alignment horizontal="center"/>
    </xf>
    <xf numFmtId="4" fontId="8" fillId="0" borderId="13" xfId="0" applyNumberFormat="1" applyFont="1" applyBorder="1" applyAlignment="1" applyProtection="1">
      <alignment horizontal="right"/>
      <protection locked="0"/>
    </xf>
    <xf numFmtId="0" fontId="8" fillId="2" borderId="1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4" fontId="4" fillId="0" borderId="13" xfId="0" applyNumberFormat="1" applyFont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49" fontId="5" fillId="2" borderId="13" xfId="0" applyNumberFormat="1" applyFont="1" applyFill="1" applyBorder="1" applyAlignment="1">
      <alignment horizontal="left" vertical="center"/>
    </xf>
    <xf numFmtId="4" fontId="7" fillId="0" borderId="13" xfId="0" applyNumberFormat="1" applyFont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4" fontId="5" fillId="0" borderId="28" xfId="0" applyNumberFormat="1" applyFont="1" applyBorder="1" applyAlignment="1" applyProtection="1">
      <alignment horizontal="right"/>
      <protection locked="0"/>
    </xf>
    <xf numFmtId="0" fontId="56" fillId="2" borderId="29" xfId="0" applyFont="1" applyFill="1" applyBorder="1" applyAlignment="1">
      <alignment horizontal="center" vertical="center"/>
    </xf>
    <xf numFmtId="2" fontId="54" fillId="0" borderId="0" xfId="0" applyNumberFormat="1" applyFont="1" applyAlignment="1">
      <alignment wrapText="1"/>
    </xf>
    <xf numFmtId="3" fontId="6" fillId="2" borderId="29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23" xfId="0" applyNumberFormat="1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>
      <alignment horizontal="center" vertical="center" wrapText="1"/>
    </xf>
    <xf numFmtId="4" fontId="7" fillId="0" borderId="25" xfId="0" applyNumberFormat="1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vertical="justify"/>
    </xf>
    <xf numFmtId="0" fontId="7" fillId="2" borderId="13" xfId="0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3" fontId="57" fillId="3" borderId="72" xfId="0" applyNumberFormat="1" applyFont="1" applyFill="1" applyBorder="1" applyAlignment="1">
      <alignment horizontal="right" vertical="center"/>
    </xf>
    <xf numFmtId="3" fontId="57" fillId="3" borderId="12" xfId="0" applyNumberFormat="1" applyFont="1" applyFill="1" applyBorder="1" applyAlignment="1">
      <alignment horizontal="right" vertical="center"/>
    </xf>
    <xf numFmtId="3" fontId="57" fillId="3" borderId="25" xfId="0" applyNumberFormat="1" applyFont="1" applyFill="1" applyBorder="1" applyAlignment="1">
      <alignment horizontal="center" vertical="center"/>
    </xf>
    <xf numFmtId="3" fontId="57" fillId="3" borderId="7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 applyProtection="1">
      <alignment horizontal="right" vertical="center"/>
      <protection locked="0"/>
    </xf>
    <xf numFmtId="4" fontId="9" fillId="0" borderId="13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9" fontId="5" fillId="3" borderId="26" xfId="0" applyNumberFormat="1" applyFont="1" applyFill="1" applyBorder="1" applyAlignment="1">
      <alignment horizontal="center" vertical="center"/>
    </xf>
    <xf numFmtId="169" fontId="5" fillId="2" borderId="25" xfId="0" applyNumberFormat="1" applyFont="1" applyFill="1" applyBorder="1" applyAlignment="1">
      <alignment vertical="center"/>
    </xf>
    <xf numFmtId="169" fontId="7" fillId="0" borderId="12" xfId="0" applyNumberFormat="1" applyFont="1" applyBorder="1" applyAlignment="1" applyProtection="1">
      <alignment horizontal="right" vertical="center"/>
      <protection locked="0"/>
    </xf>
    <xf numFmtId="169" fontId="7" fillId="0" borderId="12" xfId="0" applyNumberFormat="1" applyFont="1" applyBorder="1" applyAlignment="1" applyProtection="1">
      <alignment horizontal="right" vertical="justify"/>
      <protection locked="0"/>
    </xf>
    <xf numFmtId="169" fontId="7" fillId="0" borderId="13" xfId="0" applyNumberFormat="1" applyFont="1" applyBorder="1" applyAlignment="1" applyProtection="1">
      <alignment horizontal="right" vertical="justify"/>
      <protection locked="0"/>
    </xf>
    <xf numFmtId="169" fontId="5" fillId="0" borderId="25" xfId="0" applyNumberFormat="1" applyFont="1" applyBorder="1" applyAlignment="1" applyProtection="1">
      <alignment vertical="justify"/>
      <protection locked="0"/>
    </xf>
    <xf numFmtId="169" fontId="5" fillId="0" borderId="12" xfId="0" applyNumberFormat="1" applyFont="1" applyBorder="1" applyAlignment="1" applyProtection="1">
      <alignment vertical="justify"/>
      <protection locked="0"/>
    </xf>
    <xf numFmtId="0" fontId="5" fillId="2" borderId="37" xfId="0" applyFont="1" applyFill="1" applyBorder="1" applyAlignment="1">
      <alignment vertical="center" wrapText="1"/>
    </xf>
    <xf numFmtId="168" fontId="7" fillId="0" borderId="37" xfId="0" applyNumberFormat="1" applyFont="1" applyBorder="1" applyAlignment="1" applyProtection="1">
      <alignment horizontal="center" vertical="justify"/>
      <protection locked="0"/>
    </xf>
    <xf numFmtId="168" fontId="7" fillId="0" borderId="37" xfId="0" applyNumberFormat="1" applyFont="1" applyBorder="1" applyAlignment="1" applyProtection="1">
      <alignment horizontal="right" vertical="justify"/>
      <protection locked="0"/>
    </xf>
    <xf numFmtId="4" fontId="7" fillId="0" borderId="37" xfId="0" applyNumberFormat="1" applyFont="1" applyBorder="1" applyAlignment="1" applyProtection="1">
      <alignment horizontal="right" vertical="justify"/>
      <protection locked="0"/>
    </xf>
    <xf numFmtId="168" fontId="7" fillId="0" borderId="14" xfId="0" applyNumberFormat="1" applyFont="1" applyBorder="1" applyAlignment="1" applyProtection="1">
      <alignment horizontal="right" vertical="justify"/>
      <protection locked="0"/>
    </xf>
    <xf numFmtId="4" fontId="5" fillId="0" borderId="36" xfId="0" applyNumberFormat="1" applyFont="1" applyBorder="1" applyAlignment="1" applyProtection="1">
      <alignment vertical="justify"/>
      <protection locked="0"/>
    </xf>
    <xf numFmtId="4" fontId="5" fillId="0" borderId="37" xfId="0" applyNumberFormat="1" applyFont="1" applyBorder="1" applyAlignment="1" applyProtection="1">
      <alignment vertical="justify"/>
      <protection locked="0"/>
    </xf>
    <xf numFmtId="0" fontId="5" fillId="2" borderId="28" xfId="0" applyFont="1" applyFill="1" applyBorder="1" applyAlignment="1">
      <alignment vertical="center"/>
    </xf>
    <xf numFmtId="0" fontId="7" fillId="2" borderId="88" xfId="0" applyFont="1" applyFill="1" applyBorder="1" applyAlignment="1">
      <alignment horizontal="center" vertical="center" wrapText="1"/>
    </xf>
    <xf numFmtId="4" fontId="5" fillId="3" borderId="86" xfId="0" applyNumberFormat="1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9" fontId="4" fillId="2" borderId="103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justify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7" fillId="2" borderId="104" xfId="0" applyFont="1" applyFill="1" applyBorder="1" applyAlignment="1">
      <alignment horizontal="center" vertical="center"/>
    </xf>
    <xf numFmtId="4" fontId="7" fillId="3" borderId="10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/>
    </xf>
    <xf numFmtId="0" fontId="7" fillId="2" borderId="98" xfId="0" applyFont="1" applyFill="1" applyBorder="1" applyAlignment="1">
      <alignment horizontal="center" vertical="center"/>
    </xf>
    <xf numFmtId="4" fontId="7" fillId="0" borderId="98" xfId="0" applyNumberFormat="1" applyFont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>
      <alignment horizontal="left" vertical="center"/>
    </xf>
    <xf numFmtId="0" fontId="5" fillId="2" borderId="98" xfId="0" applyFont="1" applyFill="1" applyBorder="1" applyAlignment="1">
      <alignment horizontal="center" vertical="center"/>
    </xf>
    <xf numFmtId="4" fontId="5" fillId="3" borderId="98" xfId="0" applyNumberFormat="1" applyFont="1" applyFill="1" applyBorder="1" applyAlignment="1">
      <alignment horizontal="center" vertical="center"/>
    </xf>
    <xf numFmtId="4" fontId="7" fillId="3" borderId="98" xfId="0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 horizontal="right" vertical="center"/>
      <protection locked="0"/>
    </xf>
    <xf numFmtId="0" fontId="12" fillId="3" borderId="26" xfId="0" applyFont="1" applyFill="1" applyBorder="1" applyAlignment="1">
      <alignment horizontal="left" vertical="center"/>
    </xf>
    <xf numFmtId="4" fontId="16" fillId="0" borderId="98" xfId="0" applyNumberFormat="1" applyFont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2" borderId="103" xfId="0" applyFont="1" applyFill="1" applyBorder="1" applyAlignment="1">
      <alignment horizontal="center" vertical="center"/>
    </xf>
    <xf numFmtId="4" fontId="47" fillId="0" borderId="103" xfId="0" applyNumberFormat="1" applyFont="1" applyBorder="1" applyAlignment="1" applyProtection="1">
      <alignment horizontal="center" vertical="center"/>
      <protection locked="0"/>
    </xf>
    <xf numFmtId="4" fontId="1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55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vertical="center"/>
    </xf>
    <xf numFmtId="4" fontId="5" fillId="2" borderId="97" xfId="0" applyNumberFormat="1" applyFont="1" applyFill="1" applyBorder="1" applyAlignment="1">
      <alignment horizontal="center"/>
    </xf>
    <xf numFmtId="4" fontId="5" fillId="2" borderId="63" xfId="0" applyNumberFormat="1" applyFont="1" applyFill="1" applyBorder="1" applyAlignment="1">
      <alignment horizontal="center"/>
    </xf>
    <xf numFmtId="4" fontId="5" fillId="2" borderId="6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70" fontId="4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vertical="center"/>
    </xf>
    <xf numFmtId="4" fontId="4" fillId="0" borderId="98" xfId="0" applyNumberFormat="1" applyFont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98" xfId="0" applyNumberFormat="1" applyFont="1" applyFill="1" applyBorder="1" applyAlignment="1">
      <alignment horizontal="center" vertical="center"/>
    </xf>
    <xf numFmtId="4" fontId="4" fillId="2" borderId="6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70" fontId="61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105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vertical="center"/>
    </xf>
    <xf numFmtId="4" fontId="4" fillId="2" borderId="40" xfId="0" applyNumberFormat="1" applyFont="1" applyFill="1" applyBorder="1" applyAlignment="1">
      <alignment horizontal="center" vertical="center"/>
    </xf>
    <xf numFmtId="0" fontId="9" fillId="0" borderId="85" xfId="0" applyFont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>
      <alignment horizontal="right" vertical="center"/>
    </xf>
    <xf numFmtId="4" fontId="4" fillId="2" borderId="63" xfId="0" applyNumberFormat="1" applyFont="1" applyFill="1" applyBorder="1"/>
    <xf numFmtId="170" fontId="62" fillId="2" borderId="25" xfId="0" applyNumberFormat="1" applyFont="1" applyFill="1" applyBorder="1" applyAlignment="1">
      <alignment horizontal="right"/>
    </xf>
    <xf numFmtId="0" fontId="4" fillId="0" borderId="85" xfId="0" applyFont="1" applyBorder="1" applyAlignment="1" applyProtection="1">
      <alignment vertical="center"/>
      <protection locked="0"/>
    </xf>
    <xf numFmtId="4" fontId="4" fillId="0" borderId="98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4" fontId="4" fillId="2" borderId="105" xfId="0" applyNumberFormat="1" applyFont="1" applyFill="1" applyBorder="1" applyAlignment="1">
      <alignment horizontal="center" vertical="center"/>
    </xf>
    <xf numFmtId="4" fontId="4" fillId="2" borderId="100" xfId="0" applyNumberFormat="1" applyFont="1" applyFill="1" applyBorder="1" applyAlignment="1">
      <alignment horizontal="center" vertical="center"/>
    </xf>
    <xf numFmtId="4" fontId="4" fillId="2" borderId="84" xfId="0" applyNumberFormat="1" applyFont="1" applyFill="1" applyBorder="1" applyAlignment="1">
      <alignment horizontal="center" vertical="center"/>
    </xf>
    <xf numFmtId="4" fontId="4" fillId="2" borderId="3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9" fillId="2" borderId="85" xfId="2" applyFont="1" applyFill="1" applyBorder="1" applyAlignment="1">
      <alignment vertical="center" wrapText="1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>
      <alignment horizontal="right" vertical="center"/>
    </xf>
    <xf numFmtId="0" fontId="4" fillId="0" borderId="27" xfId="0" applyFont="1" applyBorder="1" applyAlignment="1" applyProtection="1">
      <alignment vertical="center"/>
      <protection locked="0"/>
    </xf>
    <xf numFmtId="4" fontId="4" fillId="0" borderId="105" xfId="0" applyNumberFormat="1" applyFont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53" xfId="0" applyNumberFormat="1" applyFont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4" fontId="15" fillId="2" borderId="20" xfId="0" applyNumberFormat="1" applyFont="1" applyFill="1" applyBorder="1" applyAlignment="1">
      <alignment horizontal="center" vertical="center"/>
    </xf>
    <xf numFmtId="4" fontId="4" fillId="2" borderId="99" xfId="0" applyNumberFormat="1" applyFont="1" applyFill="1" applyBorder="1" applyAlignment="1">
      <alignment horizontal="center" vertical="center"/>
    </xf>
    <xf numFmtId="4" fontId="15" fillId="2" borderId="99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/>
    </xf>
    <xf numFmtId="4" fontId="4" fillId="2" borderId="89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58" xfId="0" applyNumberFormat="1" applyFont="1" applyFill="1" applyBorder="1" applyAlignment="1">
      <alignment horizontal="center" vertical="center"/>
    </xf>
    <xf numFmtId="4" fontId="4" fillId="2" borderId="57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/>
    </xf>
    <xf numFmtId="4" fontId="4" fillId="2" borderId="65" xfId="0" applyNumberFormat="1" applyFont="1" applyFill="1" applyBorder="1" applyAlignment="1">
      <alignment horizontal="center"/>
    </xf>
    <xf numFmtId="170" fontId="4" fillId="2" borderId="86" xfId="0" applyNumberFormat="1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vertical="center"/>
    </xf>
    <xf numFmtId="4" fontId="5" fillId="2" borderId="97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4" fontId="5" fillId="2" borderId="47" xfId="0" applyNumberFormat="1" applyFont="1" applyFill="1" applyBorder="1" applyAlignment="1">
      <alignment horizontal="center" vertical="center"/>
    </xf>
    <xf numFmtId="4" fontId="5" fillId="2" borderId="104" xfId="0" applyNumberFormat="1" applyFont="1" applyFill="1" applyBorder="1" applyAlignment="1">
      <alignment horizontal="center" vertical="center"/>
    </xf>
    <xf numFmtId="4" fontId="5" fillId="2" borderId="45" xfId="0" applyNumberFormat="1" applyFont="1" applyFill="1" applyBorder="1" applyAlignment="1">
      <alignment horizontal="center" vertical="center"/>
    </xf>
    <xf numFmtId="4" fontId="15" fillId="2" borderId="30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31" xfId="0" applyNumberFormat="1" applyFont="1" applyFill="1" applyBorder="1" applyAlignment="1">
      <alignment horizontal="center" vertical="center"/>
    </xf>
    <xf numFmtId="170" fontId="5" fillId="2" borderId="6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vertical="center"/>
    </xf>
    <xf numFmtId="4" fontId="15" fillId="2" borderId="98" xfId="0" applyNumberFormat="1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>
      <alignment horizontal="center" vertical="center"/>
    </xf>
    <xf numFmtId="4" fontId="15" fillId="2" borderId="40" xfId="0" applyNumberFormat="1" applyFont="1" applyFill="1" applyBorder="1" applyAlignment="1">
      <alignment horizontal="center" vertical="center"/>
    </xf>
    <xf numFmtId="4" fontId="15" fillId="2" borderId="39" xfId="0" applyNumberFormat="1" applyFont="1" applyFill="1" applyBorder="1" applyAlignment="1">
      <alignment horizontal="center" vertical="center"/>
    </xf>
    <xf numFmtId="4" fontId="15" fillId="2" borderId="25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170" fontId="15" fillId="2" borderId="26" xfId="0" applyNumberFormat="1" applyFont="1" applyFill="1" applyBorder="1" applyAlignment="1">
      <alignment horizontal="center"/>
    </xf>
    <xf numFmtId="16" fontId="4" fillId="2" borderId="39" xfId="0" applyNumberFormat="1" applyFont="1" applyFill="1" applyBorder="1" applyAlignment="1">
      <alignment horizontal="center" vertical="center"/>
    </xf>
    <xf numFmtId="0" fontId="4" fillId="0" borderId="98" xfId="0" applyFont="1" applyBorder="1" applyAlignment="1" applyProtection="1">
      <alignment vertical="center"/>
      <protection locked="0"/>
    </xf>
    <xf numFmtId="4" fontId="4" fillId="0" borderId="72" xfId="0" applyNumberFormat="1" applyFont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vertical="center"/>
    </xf>
    <xf numFmtId="10" fontId="63" fillId="2" borderId="46" xfId="2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center" vertical="center"/>
    </xf>
    <xf numFmtId="16" fontId="4" fillId="2" borderId="13" xfId="0" applyNumberFormat="1" applyFont="1" applyFill="1" applyBorder="1" applyAlignment="1">
      <alignment horizontal="center" vertical="center"/>
    </xf>
    <xf numFmtId="0" fontId="4" fillId="0" borderId="98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12" fillId="0" borderId="103" xfId="0" applyFont="1" applyBorder="1" applyAlignment="1" applyProtection="1">
      <alignment vertical="center"/>
      <protection locked="0"/>
    </xf>
    <xf numFmtId="4" fontId="4" fillId="0" borderId="103" xfId="0" applyNumberFormat="1" applyFont="1" applyBorder="1" applyAlignment="1" applyProtection="1">
      <alignment vertical="center"/>
      <protection locked="0"/>
    </xf>
    <xf numFmtId="4" fontId="4" fillId="0" borderId="102" xfId="0" applyNumberFormat="1" applyFont="1" applyBorder="1" applyAlignment="1" applyProtection="1">
      <alignment vertical="center"/>
      <protection locked="0"/>
    </xf>
    <xf numFmtId="4" fontId="4" fillId="0" borderId="53" xfId="0" applyNumberFormat="1" applyFont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>
      <alignment horizontal="right" vertical="center"/>
    </xf>
    <xf numFmtId="4" fontId="4" fillId="2" borderId="106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right" vertical="center"/>
    </xf>
    <xf numFmtId="4" fontId="16" fillId="2" borderId="29" xfId="0" applyNumberFormat="1" applyFont="1" applyFill="1" applyBorder="1" applyAlignment="1">
      <alignment vertical="center"/>
    </xf>
    <xf numFmtId="10" fontId="63" fillId="2" borderId="52" xfId="2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Border="1" applyAlignment="1" applyProtection="1">
      <alignment horizontal="center"/>
      <protection locked="0"/>
    </xf>
    <xf numFmtId="1" fontId="54" fillId="0" borderId="11" xfId="0" applyNumberFormat="1" applyFont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Border="1" applyAlignment="1" applyProtection="1">
      <alignment horizontal="center"/>
      <protection locked="0"/>
    </xf>
    <xf numFmtId="1" fontId="54" fillId="0" borderId="13" xfId="0" applyNumberFormat="1" applyFont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Border="1" applyAlignment="1" applyProtection="1">
      <alignment horizontal="center"/>
      <protection locked="0"/>
    </xf>
    <xf numFmtId="1" fontId="54" fillId="0" borderId="44" xfId="0" applyNumberFormat="1" applyFont="1" applyBorder="1" applyAlignment="1" applyProtection="1">
      <alignment horizontal="center"/>
      <protection locked="0"/>
    </xf>
    <xf numFmtId="1" fontId="54" fillId="0" borderId="14" xfId="0" applyNumberFormat="1" applyFont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" fontId="43" fillId="2" borderId="6" xfId="0" applyNumberFormat="1" applyFont="1" applyFill="1" applyBorder="1" applyAlignment="1">
      <alignment horizontal="center" vertical="center"/>
    </xf>
    <xf numFmtId="4" fontId="43" fillId="2" borderId="21" xfId="0" applyNumberFormat="1" applyFont="1" applyFill="1" applyBorder="1" applyAlignment="1">
      <alignment horizontal="center" vertical="center"/>
    </xf>
    <xf numFmtId="4" fontId="43" fillId="2" borderId="2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right"/>
    </xf>
    <xf numFmtId="3" fontId="13" fillId="2" borderId="9" xfId="0" applyNumberFormat="1" applyFont="1" applyFill="1" applyBorder="1" applyAlignment="1">
      <alignment horizontal="center" vertical="center" wrapText="1"/>
    </xf>
    <xf numFmtId="3" fontId="13" fillId="2" borderId="31" xfId="0" applyNumberFormat="1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3" fontId="13" fillId="2" borderId="37" xfId="0" applyNumberFormat="1" applyFont="1" applyFill="1" applyBorder="1" applyAlignment="1">
      <alignment horizontal="center" vertical="center" wrapText="1"/>
    </xf>
    <xf numFmtId="3" fontId="13" fillId="2" borderId="44" xfId="0" applyNumberFormat="1" applyFont="1" applyFill="1" applyBorder="1" applyAlignment="1">
      <alignment horizontal="center" vertical="center" wrapText="1"/>
    </xf>
    <xf numFmtId="3" fontId="13" fillId="2" borderId="66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3" fontId="13" fillId="2" borderId="84" xfId="0" applyNumberFormat="1" applyFont="1" applyFill="1" applyBorder="1" applyAlignment="1">
      <alignment horizontal="center" vertical="center" wrapText="1"/>
    </xf>
    <xf numFmtId="3" fontId="13" fillId="2" borderId="85" xfId="0" applyNumberFormat="1" applyFont="1" applyFill="1" applyBorder="1" applyAlignment="1">
      <alignment horizontal="center" vertical="center" wrapText="1"/>
    </xf>
    <xf numFmtId="3" fontId="13" fillId="2" borderId="43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3" fontId="13" fillId="2" borderId="42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justify"/>
    </xf>
    <xf numFmtId="3" fontId="13" fillId="3" borderId="14" xfId="0" applyNumberFormat="1" applyFont="1" applyFill="1" applyBorder="1" applyAlignment="1">
      <alignment horizontal="center" vertical="center" wrapText="1"/>
    </xf>
    <xf numFmtId="3" fontId="13" fillId="3" borderId="84" xfId="0" applyNumberFormat="1" applyFont="1" applyFill="1" applyBorder="1" applyAlignment="1">
      <alignment horizontal="center" vertical="center" wrapText="1"/>
    </xf>
    <xf numFmtId="3" fontId="13" fillId="3" borderId="85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64" xfId="0" applyNumberFormat="1" applyFont="1" applyFill="1" applyBorder="1" applyAlignment="1">
      <alignment horizontal="center" vertical="center" wrapText="1"/>
    </xf>
    <xf numFmtId="3" fontId="13" fillId="3" borderId="46" xfId="0" applyNumberFormat="1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3" fillId="3" borderId="57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31" xfId="0" applyNumberFormat="1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3" fontId="13" fillId="3" borderId="37" xfId="0" applyNumberFormat="1" applyFont="1" applyFill="1" applyBorder="1" applyAlignment="1">
      <alignment horizontal="center" vertical="center" wrapText="1"/>
    </xf>
    <xf numFmtId="3" fontId="13" fillId="3" borderId="44" xfId="0" applyNumberFormat="1" applyFont="1" applyFill="1" applyBorder="1" applyAlignment="1">
      <alignment horizontal="center" vertical="center" wrapText="1"/>
    </xf>
    <xf numFmtId="3" fontId="13" fillId="3" borderId="66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 applyProtection="1">
      <alignment horizontal="center" vertical="center"/>
      <protection locked="0"/>
    </xf>
    <xf numFmtId="169" fontId="7" fillId="0" borderId="40" xfId="0" applyNumberFormat="1" applyFont="1" applyBorder="1" applyAlignment="1" applyProtection="1">
      <alignment horizontal="center" vertical="center"/>
      <protection locked="0"/>
    </xf>
    <xf numFmtId="169" fontId="7" fillId="0" borderId="72" xfId="0" applyNumberFormat="1" applyFont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>
      <alignment horizontal="center" vertical="center"/>
    </xf>
    <xf numFmtId="4" fontId="5" fillId="3" borderId="101" xfId="0" applyNumberFormat="1" applyFont="1" applyFill="1" applyBorder="1" applyAlignment="1">
      <alignment horizontal="center" vertical="center"/>
    </xf>
    <xf numFmtId="4" fontId="5" fillId="3" borderId="102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3" fontId="13" fillId="2" borderId="100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64" xfId="0" applyNumberFormat="1" applyFont="1" applyFill="1" applyBorder="1" applyAlignment="1">
      <alignment horizontal="center" vertical="center" wrapText="1"/>
    </xf>
    <xf numFmtId="3" fontId="13" fillId="2" borderId="63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 wrapText="1"/>
    </xf>
    <xf numFmtId="3" fontId="13" fillId="2" borderId="48" xfId="0" applyNumberFormat="1" applyFont="1" applyFill="1" applyBorder="1" applyAlignment="1">
      <alignment horizontal="center" vertical="center" wrapText="1"/>
    </xf>
    <xf numFmtId="3" fontId="13" fillId="2" borderId="46" xfId="0" applyNumberFormat="1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2" fontId="5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5" fillId="0" borderId="104" xfId="0" applyFont="1" applyBorder="1" applyAlignment="1" applyProtection="1">
      <alignment horizontal="center" vertical="center" wrapText="1"/>
      <protection locked="0"/>
    </xf>
    <xf numFmtId="0" fontId="55" fillId="0" borderId="103" xfId="0" applyFont="1" applyBorder="1" applyAlignment="1" applyProtection="1">
      <alignment horizontal="center" vertical="center" wrapText="1"/>
      <protection locked="0"/>
    </xf>
    <xf numFmtId="0" fontId="55" fillId="2" borderId="92" xfId="0" applyFont="1" applyFill="1" applyBorder="1" applyAlignment="1">
      <alignment horizontal="center" vertical="center"/>
    </xf>
    <xf numFmtId="0" fontId="55" fillId="2" borderId="95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6" xfId="0" applyFont="1" applyBorder="1" applyAlignment="1" applyProtection="1">
      <alignment horizontal="right" vertical="center" wrapText="1"/>
      <protection locked="0"/>
    </xf>
    <xf numFmtId="0" fontId="55" fillId="0" borderId="21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>
      <alignment horizontal="left" vertical="center"/>
    </xf>
    <xf numFmtId="0" fontId="55" fillId="0" borderId="92" xfId="0" applyFont="1" applyBorder="1" applyAlignment="1" applyProtection="1">
      <alignment horizontal="center" vertical="center" wrapText="1"/>
      <protection locked="0"/>
    </xf>
    <xf numFmtId="0" fontId="55" fillId="0" borderId="95" xfId="0" applyFont="1" applyBorder="1" applyAlignment="1" applyProtection="1">
      <alignment horizontal="center" vertical="center" wrapText="1"/>
      <protection locked="0"/>
    </xf>
    <xf numFmtId="0" fontId="55" fillId="2" borderId="6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INDA\KOMISIJOS%20ATASKAITOS\UAB%20GRINDA%20FIN.ROD\2018%20galutiniai\&#302;sigyTurtas%20ir%20NebaigStaty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INDA\KOMISIJOS%20ATASKAITOS\UAB%20GRINDA%20FIN.ROD\2018%20galutiniai\2018g\ko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INDA\KOMISIJOS%20ATASKAITOS\UAB%20GRINDA%20FIN.ROD\2018%20galutiniai\Darb.Elek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0 17"/>
      <sheetName val="333 17"/>
      <sheetName val=" Bal 18"/>
      <sheetName val="320 19 1"/>
      <sheetName val="320 18 "/>
      <sheetName val="320 nuraš"/>
      <sheetName val="333 18"/>
      <sheetName val="NebStat"/>
      <sheetName val="ww"/>
      <sheetName val="www nuraš"/>
      <sheetName val="320"/>
      <sheetName val="100"/>
      <sheetName val="310"/>
      <sheetName val="310 nuraš"/>
      <sheetName val="330"/>
      <sheetName val="330 nuraš"/>
      <sheetName val="200"/>
    </sheetNames>
    <sheetDataSet>
      <sheetData sheetId="0">
        <row r="13">
          <cell r="H13">
            <v>41700</v>
          </cell>
        </row>
      </sheetData>
      <sheetData sheetId="1">
        <row r="29">
          <cell r="H29">
            <v>12380.33</v>
          </cell>
        </row>
      </sheetData>
      <sheetData sheetId="2">
        <row r="10">
          <cell r="K10">
            <v>93160.930000000008</v>
          </cell>
        </row>
        <row r="12">
          <cell r="D12">
            <v>68817.3</v>
          </cell>
        </row>
        <row r="14">
          <cell r="D14">
            <v>-49819.26</v>
          </cell>
        </row>
        <row r="16">
          <cell r="D16">
            <v>7215.69</v>
          </cell>
        </row>
        <row r="19">
          <cell r="D19">
            <v>23299102.800000001</v>
          </cell>
        </row>
        <row r="21">
          <cell r="G21">
            <v>70377.66</v>
          </cell>
          <cell r="H21">
            <v>40363.68</v>
          </cell>
          <cell r="I21">
            <v>781066.26</v>
          </cell>
          <cell r="J21">
            <v>349127.31</v>
          </cell>
          <cell r="K21">
            <v>1685086.88</v>
          </cell>
          <cell r="L21">
            <v>669463.79</v>
          </cell>
          <cell r="M21">
            <v>1158031.8600000001</v>
          </cell>
          <cell r="N21">
            <v>814482.64</v>
          </cell>
        </row>
        <row r="22">
          <cell r="G22">
            <v>3106208.7800000003</v>
          </cell>
          <cell r="H22">
            <v>2788686.14</v>
          </cell>
          <cell r="I22">
            <v>151911.97999999998</v>
          </cell>
          <cell r="J22">
            <v>66626.81</v>
          </cell>
          <cell r="K22">
            <v>1886563.05</v>
          </cell>
          <cell r="L22">
            <v>755373.3</v>
          </cell>
          <cell r="M22">
            <v>212792.52</v>
          </cell>
          <cell r="N22">
            <v>76842.080000000002</v>
          </cell>
        </row>
        <row r="29">
          <cell r="G29">
            <v>25799129.199999999</v>
          </cell>
          <cell r="H29">
            <v>14081500.49</v>
          </cell>
        </row>
        <row r="31">
          <cell r="G31">
            <v>69276.02</v>
          </cell>
          <cell r="H31">
            <v>33801.58</v>
          </cell>
          <cell r="I31">
            <v>151663.03</v>
          </cell>
          <cell r="J31">
            <v>469.33000000000004</v>
          </cell>
          <cell r="K31">
            <v>1727433.93</v>
          </cell>
          <cell r="L31">
            <v>664942.21</v>
          </cell>
        </row>
        <row r="38">
          <cell r="I38">
            <v>0</v>
          </cell>
          <cell r="J38">
            <v>0</v>
          </cell>
          <cell r="K38">
            <v>4396957.25</v>
          </cell>
          <cell r="L38">
            <v>1143038.76</v>
          </cell>
        </row>
        <row r="41">
          <cell r="G41">
            <v>20764.640000000003</v>
          </cell>
          <cell r="H41">
            <v>8020.33</v>
          </cell>
          <cell r="I41">
            <v>8702.9500000000007</v>
          </cell>
          <cell r="J41">
            <v>4320.78</v>
          </cell>
          <cell r="K41">
            <v>168309.05</v>
          </cell>
          <cell r="L41">
            <v>71743.89</v>
          </cell>
        </row>
        <row r="46">
          <cell r="G46">
            <v>21208.17</v>
          </cell>
          <cell r="H46">
            <v>11962.01</v>
          </cell>
          <cell r="I46">
            <v>105323.74</v>
          </cell>
          <cell r="J46">
            <v>35252.550000000003</v>
          </cell>
          <cell r="K46">
            <v>45372</v>
          </cell>
          <cell r="L46">
            <v>12785.57</v>
          </cell>
        </row>
        <row r="52">
          <cell r="D52">
            <v>245561.55</v>
          </cell>
        </row>
        <row r="56">
          <cell r="D56">
            <v>1424738</v>
          </cell>
        </row>
        <row r="57">
          <cell r="C57">
            <v>9483.01</v>
          </cell>
          <cell r="F57">
            <v>12362.31</v>
          </cell>
        </row>
        <row r="58">
          <cell r="C58">
            <v>3000</v>
          </cell>
          <cell r="D58">
            <v>3000</v>
          </cell>
        </row>
        <row r="59">
          <cell r="C59">
            <v>12000</v>
          </cell>
          <cell r="D59">
            <v>17890.75</v>
          </cell>
        </row>
        <row r="61">
          <cell r="C61">
            <v>41400</v>
          </cell>
          <cell r="D61">
            <v>42048.75</v>
          </cell>
        </row>
        <row r="63">
          <cell r="C63">
            <v>29000</v>
          </cell>
          <cell r="D63">
            <v>1349436.19</v>
          </cell>
        </row>
        <row r="65">
          <cell r="D65">
            <v>1142868.8600000001</v>
          </cell>
        </row>
        <row r="70">
          <cell r="D70">
            <v>0</v>
          </cell>
        </row>
        <row r="74">
          <cell r="D74">
            <v>379319.55</v>
          </cell>
        </row>
        <row r="75">
          <cell r="D75">
            <v>0</v>
          </cell>
        </row>
        <row r="77">
          <cell r="D77">
            <v>26259.37</v>
          </cell>
        </row>
        <row r="84">
          <cell r="D84">
            <v>13402.84</v>
          </cell>
        </row>
        <row r="87">
          <cell r="D87">
            <v>6511237.9900000002</v>
          </cell>
        </row>
        <row r="98">
          <cell r="D98">
            <v>8547.35</v>
          </cell>
        </row>
        <row r="120">
          <cell r="D120">
            <v>283748</v>
          </cell>
        </row>
        <row r="126">
          <cell r="D126">
            <v>16353.08</v>
          </cell>
        </row>
        <row r="128">
          <cell r="D128">
            <v>1853143.12</v>
          </cell>
        </row>
        <row r="139">
          <cell r="D139">
            <v>16916.34</v>
          </cell>
        </row>
        <row r="145">
          <cell r="D145">
            <v>2390319.2000000002</v>
          </cell>
        </row>
        <row r="147">
          <cell r="D147">
            <v>0</v>
          </cell>
        </row>
        <row r="150">
          <cell r="D150">
            <v>239031.65</v>
          </cell>
        </row>
        <row r="151">
          <cell r="D151">
            <v>244698.36</v>
          </cell>
        </row>
        <row r="152">
          <cell r="D152">
            <v>5433172.46</v>
          </cell>
        </row>
        <row r="153">
          <cell r="D153">
            <v>14578421.210000001</v>
          </cell>
        </row>
        <row r="154">
          <cell r="D154">
            <v>2687420.5</v>
          </cell>
        </row>
        <row r="156">
          <cell r="D156">
            <v>1000000</v>
          </cell>
        </row>
        <row r="157">
          <cell r="D157">
            <v>-341463.23</v>
          </cell>
        </row>
        <row r="164">
          <cell r="D164">
            <v>1442333.53</v>
          </cell>
        </row>
        <row r="173">
          <cell r="D173">
            <v>22455.89</v>
          </cell>
        </row>
        <row r="176">
          <cell r="D176">
            <v>19198.21</v>
          </cell>
        </row>
        <row r="177">
          <cell r="D177">
            <v>717694.51</v>
          </cell>
        </row>
        <row r="181">
          <cell r="D181">
            <v>0</v>
          </cell>
        </row>
        <row r="184">
          <cell r="D184">
            <v>0</v>
          </cell>
        </row>
        <row r="186">
          <cell r="D186">
            <v>46799.86</v>
          </cell>
        </row>
        <row r="189">
          <cell r="D189">
            <v>22455.57</v>
          </cell>
        </row>
        <row r="196">
          <cell r="D196">
            <v>165255.22</v>
          </cell>
        </row>
        <row r="201">
          <cell r="D201">
            <v>128489.26</v>
          </cell>
        </row>
        <row r="205">
          <cell r="D205">
            <v>1436029.1</v>
          </cell>
        </row>
        <row r="208">
          <cell r="D208">
            <v>740807.05</v>
          </cell>
        </row>
        <row r="214">
          <cell r="D214">
            <v>954420.29</v>
          </cell>
        </row>
        <row r="225">
          <cell r="D225">
            <v>96307</v>
          </cell>
        </row>
        <row r="369">
          <cell r="D369">
            <v>1361645.39</v>
          </cell>
        </row>
      </sheetData>
      <sheetData sheetId="3">
        <row r="11">
          <cell r="I11">
            <v>31060</v>
          </cell>
        </row>
      </sheetData>
      <sheetData sheetId="4">
        <row r="15">
          <cell r="H15">
            <v>5950.68</v>
          </cell>
        </row>
      </sheetData>
      <sheetData sheetId="5"/>
      <sheetData sheetId="6">
        <row r="66">
          <cell r="E66">
            <v>12380.33</v>
          </cell>
        </row>
        <row r="69">
          <cell r="E69">
            <v>3179.06</v>
          </cell>
        </row>
      </sheetData>
      <sheetData sheetId="7"/>
      <sheetData sheetId="8"/>
      <sheetData sheetId="9"/>
      <sheetData sheetId="10">
        <row r="12">
          <cell r="K12">
            <v>1407.5532000000001</v>
          </cell>
        </row>
        <row r="28">
          <cell r="K28">
            <v>76871.247428571427</v>
          </cell>
        </row>
        <row r="91">
          <cell r="K91">
            <v>515982.58399999997</v>
          </cell>
        </row>
        <row r="109">
          <cell r="K109">
            <v>4292.8419999999996</v>
          </cell>
        </row>
        <row r="116">
          <cell r="K116">
            <v>11877.574857142858</v>
          </cell>
        </row>
        <row r="136">
          <cell r="K136">
            <v>3010.7339999999995</v>
          </cell>
        </row>
        <row r="139">
          <cell r="K139">
            <v>220.11199999999999</v>
          </cell>
        </row>
        <row r="148">
          <cell r="G148">
            <v>2571.4299999999998</v>
          </cell>
        </row>
        <row r="149">
          <cell r="G149">
            <v>2571.4299999999998</v>
          </cell>
        </row>
        <row r="150">
          <cell r="G150">
            <v>2571.4299999999998</v>
          </cell>
        </row>
        <row r="151">
          <cell r="G151">
            <v>2571.4299999999998</v>
          </cell>
        </row>
        <row r="152">
          <cell r="G152">
            <v>2571.4299999999998</v>
          </cell>
        </row>
        <row r="153">
          <cell r="G153">
            <v>2571.4299999999998</v>
          </cell>
        </row>
        <row r="154">
          <cell r="G154">
            <v>2571.4299999999998</v>
          </cell>
        </row>
        <row r="155">
          <cell r="K155">
            <v>3953.172</v>
          </cell>
        </row>
      </sheetData>
      <sheetData sheetId="11"/>
      <sheetData sheetId="12"/>
      <sheetData sheetId="13"/>
      <sheetData sheetId="14">
        <row r="25">
          <cell r="I25">
            <v>18998.04</v>
          </cell>
        </row>
        <row r="31">
          <cell r="I31">
            <v>7215.69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6"/>
      <sheetName val="3"/>
      <sheetName val="9"/>
      <sheetName val="4"/>
      <sheetName val="12"/>
      <sheetName val="analizai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H9">
            <v>4.1103500000000004</v>
          </cell>
        </row>
        <row r="10">
          <cell r="D10">
            <v>2862.3857427390421</v>
          </cell>
          <cell r="E10">
            <v>18968.47356726096</v>
          </cell>
        </row>
        <row r="13">
          <cell r="D13">
            <v>617.6158068572189</v>
          </cell>
          <cell r="G13">
            <v>553.90739999999994</v>
          </cell>
          <cell r="H13">
            <v>53.414459999999998</v>
          </cell>
        </row>
        <row r="14">
          <cell r="D14">
            <v>335.93843575438598</v>
          </cell>
          <cell r="G14">
            <v>591.9207694117647</v>
          </cell>
          <cell r="H14">
            <v>0</v>
          </cell>
        </row>
        <row r="16">
          <cell r="D16">
            <v>182.27058999999997</v>
          </cell>
          <cell r="G16">
            <v>0</v>
          </cell>
          <cell r="H16">
            <v>0</v>
          </cell>
        </row>
        <row r="17">
          <cell r="G17">
            <v>200.92921882352945</v>
          </cell>
        </row>
        <row r="18">
          <cell r="D18">
            <v>12.144178947368422</v>
          </cell>
          <cell r="G18">
            <v>56.859470588235297</v>
          </cell>
          <cell r="H18">
            <v>0</v>
          </cell>
        </row>
        <row r="19">
          <cell r="G19">
            <v>0</v>
          </cell>
        </row>
        <row r="20">
          <cell r="H20">
            <v>2.2327000000000004</v>
          </cell>
        </row>
        <row r="21">
          <cell r="H21">
            <v>21.313170000000003</v>
          </cell>
        </row>
        <row r="22">
          <cell r="H22">
            <v>7.753210000000001</v>
          </cell>
        </row>
        <row r="23">
          <cell r="H23">
            <v>0</v>
          </cell>
        </row>
        <row r="24">
          <cell r="G24">
            <v>0</v>
          </cell>
          <cell r="H24">
            <v>12.52988</v>
          </cell>
        </row>
        <row r="27">
          <cell r="D27">
            <v>754.33005000000003</v>
          </cell>
          <cell r="G27">
            <v>1975.9769800000004</v>
          </cell>
          <cell r="H27">
            <v>397.73552000000007</v>
          </cell>
        </row>
        <row r="28">
          <cell r="D28">
            <v>231.84958989999998</v>
          </cell>
          <cell r="G28">
            <v>397.83758604000013</v>
          </cell>
          <cell r="H28">
            <v>122.51939895999999</v>
          </cell>
        </row>
        <row r="29">
          <cell r="D29">
            <v>1.5086600999999997</v>
          </cell>
          <cell r="G29">
            <v>3.9519539600000009</v>
          </cell>
          <cell r="H29">
            <v>0.79547104000000002</v>
          </cell>
        </row>
        <row r="30">
          <cell r="D30">
            <v>4.5491239999999999</v>
          </cell>
          <cell r="G30">
            <v>15.921934</v>
          </cell>
          <cell r="H30">
            <v>2.274562</v>
          </cell>
        </row>
        <row r="31">
          <cell r="D31">
            <v>1.4263999999999999</v>
          </cell>
          <cell r="H31">
            <v>20.938599999999997</v>
          </cell>
        </row>
        <row r="32">
          <cell r="D32">
            <v>7.1904915666666671</v>
          </cell>
          <cell r="G32">
            <v>18.256504333333336</v>
          </cell>
          <cell r="H32">
            <v>7.5983473000000004</v>
          </cell>
        </row>
        <row r="34">
          <cell r="D34">
            <v>55.677726736842111</v>
          </cell>
          <cell r="G34">
            <v>187.19699529411764</v>
          </cell>
          <cell r="H34">
            <v>5.3464700000000001</v>
          </cell>
        </row>
        <row r="35">
          <cell r="D35">
            <v>57.409266175438596</v>
          </cell>
          <cell r="H35">
            <v>0</v>
          </cell>
        </row>
        <row r="37">
          <cell r="D37">
            <v>0</v>
          </cell>
          <cell r="H37">
            <v>96.058400000000006</v>
          </cell>
        </row>
        <row r="38">
          <cell r="D38">
            <v>0.60069000000000006</v>
          </cell>
        </row>
        <row r="39">
          <cell r="D39">
            <v>0</v>
          </cell>
        </row>
        <row r="40">
          <cell r="D40">
            <v>17.755800000000001</v>
          </cell>
        </row>
        <row r="41">
          <cell r="G41">
            <v>0</v>
          </cell>
        </row>
        <row r="42">
          <cell r="G42">
            <v>20.473280000000003</v>
          </cell>
          <cell r="H42">
            <v>0</v>
          </cell>
        </row>
        <row r="43">
          <cell r="G43">
            <v>0</v>
          </cell>
          <cell r="H43">
            <v>2.3005999999999998</v>
          </cell>
        </row>
        <row r="44">
          <cell r="H44">
            <v>20.030989999999999</v>
          </cell>
        </row>
        <row r="45">
          <cell r="G45">
            <v>92.791150000000002</v>
          </cell>
          <cell r="H45">
            <v>52.364099999999993</v>
          </cell>
        </row>
        <row r="47">
          <cell r="G47">
            <v>0</v>
          </cell>
          <cell r="H47">
            <v>40.183999999999997</v>
          </cell>
        </row>
        <row r="48">
          <cell r="G48">
            <v>0</v>
          </cell>
          <cell r="H48">
            <v>3.5441199999999999</v>
          </cell>
        </row>
        <row r="49">
          <cell r="D49">
            <v>82.361000000000004</v>
          </cell>
          <cell r="G49">
            <v>6.0960000000000001</v>
          </cell>
          <cell r="H49">
            <v>0</v>
          </cell>
        </row>
        <row r="52">
          <cell r="I52">
            <v>32.440220000000004</v>
          </cell>
        </row>
        <row r="53">
          <cell r="I53">
            <v>7.4800000000000005E-3</v>
          </cell>
        </row>
        <row r="54">
          <cell r="I54">
            <v>0</v>
          </cell>
        </row>
        <row r="55">
          <cell r="I55">
            <v>9.0215999999999994</v>
          </cell>
        </row>
        <row r="56">
          <cell r="I56">
            <v>9.8935300000000002</v>
          </cell>
        </row>
        <row r="57">
          <cell r="I57">
            <v>1.2206999999999999</v>
          </cell>
        </row>
        <row r="58">
          <cell r="I58">
            <v>1.25</v>
          </cell>
        </row>
        <row r="59">
          <cell r="I59">
            <v>0</v>
          </cell>
        </row>
        <row r="60">
          <cell r="I60">
            <v>43.256529999999998</v>
          </cell>
        </row>
        <row r="61">
          <cell r="I61">
            <v>1.9062000000000001</v>
          </cell>
        </row>
        <row r="62">
          <cell r="H62">
            <v>0</v>
          </cell>
          <cell r="I62">
            <v>0</v>
          </cell>
        </row>
        <row r="63">
          <cell r="I63">
            <v>0</v>
          </cell>
        </row>
        <row r="64">
          <cell r="H64">
            <v>11.93797314278112</v>
          </cell>
          <cell r="I64">
            <v>11.93797314278112</v>
          </cell>
        </row>
        <row r="65">
          <cell r="H65">
            <v>49.633430000000004</v>
          </cell>
        </row>
        <row r="66">
          <cell r="H66">
            <v>0</v>
          </cell>
        </row>
        <row r="67">
          <cell r="H67">
            <v>28.014949999999995</v>
          </cell>
        </row>
        <row r="70">
          <cell r="D70">
            <v>2362.6278100379204</v>
          </cell>
          <cell r="E70">
            <v>12936.616515068317</v>
          </cell>
        </row>
        <row r="72">
          <cell r="I72">
            <v>1356.0894800000024</v>
          </cell>
        </row>
        <row r="75">
          <cell r="I75">
            <v>151.98693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"/>
      <sheetName val="GrE"/>
      <sheetName val="9F10pr"/>
      <sheetName val="10F11pr"/>
    </sheetNames>
    <sheetDataSet>
      <sheetData sheetId="0"/>
      <sheetData sheetId="1"/>
      <sheetData sheetId="2"/>
      <sheetData sheetId="3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48.590999999999994</v>
          </cell>
        </row>
        <row r="26">
          <cell r="D26">
            <v>8.3079999999999998</v>
          </cell>
        </row>
        <row r="27">
          <cell r="D27">
            <v>106.35236231884058</v>
          </cell>
        </row>
        <row r="28">
          <cell r="D28">
            <v>45.241700859950861</v>
          </cell>
        </row>
        <row r="29">
          <cell r="D29">
            <v>0</v>
          </cell>
        </row>
        <row r="30">
          <cell r="D30">
            <v>42.20087200639373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1"/>
  <sheetViews>
    <sheetView tabSelected="1" topLeftCell="A7" workbookViewId="0">
      <selection activeCell="C20" sqref="C20"/>
    </sheetView>
  </sheetViews>
  <sheetFormatPr defaultRowHeight="15" x14ac:dyDescent="0.2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 x14ac:dyDescent="0.25">
      <c r="A1" s="960" t="s">
        <v>0</v>
      </c>
      <c r="B1" s="961"/>
      <c r="C1" s="962"/>
    </row>
    <row r="2" spans="1:5" x14ac:dyDescent="0.25">
      <c r="A2" s="960" t="s">
        <v>1</v>
      </c>
      <c r="B2" s="961"/>
      <c r="C2" s="962"/>
    </row>
    <row r="3" spans="1:5" x14ac:dyDescent="0.25">
      <c r="A3" s="963"/>
      <c r="B3" s="964"/>
      <c r="C3" s="965"/>
    </row>
    <row r="4" spans="1:5" x14ac:dyDescent="0.25">
      <c r="A4" s="1"/>
      <c r="B4" s="1"/>
      <c r="C4" s="1"/>
    </row>
    <row r="5" spans="1:5" x14ac:dyDescent="0.25">
      <c r="A5" s="966" t="s">
        <v>2</v>
      </c>
      <c r="B5" s="967"/>
      <c r="C5" s="968"/>
    </row>
    <row r="6" spans="1:5" x14ac:dyDescent="0.25">
      <c r="A6" s="1"/>
      <c r="B6" s="1"/>
      <c r="C6" s="1"/>
    </row>
    <row r="7" spans="1:5" x14ac:dyDescent="0.25">
      <c r="A7" s="2"/>
      <c r="B7" s="2"/>
      <c r="C7" s="2"/>
    </row>
    <row r="8" spans="1:5" ht="20.25" customHeight="1" thickBot="1" x14ac:dyDescent="0.3">
      <c r="A8" s="959" t="s">
        <v>3</v>
      </c>
      <c r="B8" s="959"/>
      <c r="C8" s="959"/>
      <c r="D8" s="3"/>
      <c r="E8" s="3"/>
    </row>
    <row r="9" spans="1:5" ht="15.75" thickBot="1" x14ac:dyDescent="0.3">
      <c r="A9" s="4" t="s">
        <v>4</v>
      </c>
      <c r="B9" s="5" t="s">
        <v>5</v>
      </c>
      <c r="C9" s="6" t="s">
        <v>1600</v>
      </c>
      <c r="E9" s="7"/>
    </row>
    <row r="10" spans="1:5" x14ac:dyDescent="0.25">
      <c r="A10" s="8">
        <v>1</v>
      </c>
      <c r="B10" s="8">
        <v>2</v>
      </c>
      <c r="C10" s="9">
        <v>3</v>
      </c>
      <c r="E10" s="7"/>
    </row>
    <row r="11" spans="1:5" x14ac:dyDescent="0.25">
      <c r="A11" s="10" t="s">
        <v>6</v>
      </c>
      <c r="B11" s="11" t="s">
        <v>7</v>
      </c>
      <c r="C11" s="12">
        <f>SUM(C12,C19,C32,C42)</f>
        <v>24468.185389999999</v>
      </c>
      <c r="E11" s="7"/>
    </row>
    <row r="12" spans="1:5" x14ac:dyDescent="0.25">
      <c r="A12" s="13" t="s">
        <v>8</v>
      </c>
      <c r="B12" s="14" t="s">
        <v>9</v>
      </c>
      <c r="C12" s="15">
        <f>SUM(C13:C18)</f>
        <v>26.213729999999998</v>
      </c>
      <c r="E12" s="7"/>
    </row>
    <row r="13" spans="1:5" x14ac:dyDescent="0.25">
      <c r="A13" s="16" t="s">
        <v>10</v>
      </c>
      <c r="B13" s="17" t="s">
        <v>11</v>
      </c>
      <c r="C13" s="18">
        <f>'[1] Bal 18'!$D$13</f>
        <v>0</v>
      </c>
      <c r="E13" s="7"/>
    </row>
    <row r="14" spans="1:5" x14ac:dyDescent="0.25">
      <c r="A14" s="16" t="s">
        <v>12</v>
      </c>
      <c r="B14" s="17" t="s">
        <v>13</v>
      </c>
      <c r="C14" s="18">
        <f>'[1] Bal 18'!$D$13</f>
        <v>0</v>
      </c>
      <c r="E14" s="7"/>
    </row>
    <row r="15" spans="1:5" x14ac:dyDescent="0.25">
      <c r="A15" s="16" t="s">
        <v>14</v>
      </c>
      <c r="B15" s="17" t="s">
        <v>15</v>
      </c>
      <c r="C15" s="18">
        <f>('[1] Bal 18'!$D$12+'[1] Bal 18'!$D$14)/1000</f>
        <v>18.99804</v>
      </c>
    </row>
    <row r="16" spans="1:5" x14ac:dyDescent="0.25">
      <c r="A16" s="16" t="s">
        <v>16</v>
      </c>
      <c r="B16" s="17" t="s">
        <v>17</v>
      </c>
      <c r="C16" s="18">
        <f>'[1] Bal 18'!$D$13</f>
        <v>0</v>
      </c>
    </row>
    <row r="17" spans="1:3" x14ac:dyDescent="0.25">
      <c r="A17" s="16" t="s">
        <v>18</v>
      </c>
      <c r="B17" s="17" t="s">
        <v>19</v>
      </c>
      <c r="C17" s="18">
        <f>'[1] Bal 18'!$D$16/1000</f>
        <v>7.2156899999999995</v>
      </c>
    </row>
    <row r="18" spans="1:3" x14ac:dyDescent="0.25">
      <c r="A18" s="16" t="s">
        <v>20</v>
      </c>
      <c r="B18" s="17" t="s">
        <v>21</v>
      </c>
      <c r="C18" s="18">
        <f>'[1] Bal 18'!$D$13</f>
        <v>0</v>
      </c>
    </row>
    <row r="19" spans="1:3" x14ac:dyDescent="0.25">
      <c r="A19" s="13" t="s">
        <v>22</v>
      </c>
      <c r="B19" s="14" t="s">
        <v>23</v>
      </c>
      <c r="C19" s="19">
        <f>'[1] Bal 18'!$D$19/1000</f>
        <v>23299.102800000001</v>
      </c>
    </row>
    <row r="20" spans="1:3" x14ac:dyDescent="0.25">
      <c r="A20" s="20" t="s">
        <v>24</v>
      </c>
      <c r="B20" s="21" t="s">
        <v>25</v>
      </c>
      <c r="C20" s="22">
        <f>SUM(C21,C22,C23,C24,C25,C26,C27,C28,C30, C31)</f>
        <v>18389.072229999998</v>
      </c>
    </row>
    <row r="21" spans="1:3" x14ac:dyDescent="0.25">
      <c r="A21" s="16" t="s">
        <v>26</v>
      </c>
      <c r="B21" s="17" t="s">
        <v>27</v>
      </c>
      <c r="C21" s="18">
        <f>'[1] Bal 18'!$E$21</f>
        <v>0</v>
      </c>
    </row>
    <row r="22" spans="1:3" x14ac:dyDescent="0.25">
      <c r="A22" s="16" t="s">
        <v>28</v>
      </c>
      <c r="B22" s="17" t="s">
        <v>29</v>
      </c>
      <c r="C22" s="18">
        <f>'[1] Bal 18'!$H$21/1000</f>
        <v>40.363680000000002</v>
      </c>
    </row>
    <row r="23" spans="1:3" x14ac:dyDescent="0.25">
      <c r="A23" s="16" t="s">
        <v>30</v>
      </c>
      <c r="B23" s="17" t="s">
        <v>31</v>
      </c>
      <c r="C23" s="18">
        <f>'[1] Bal 18'!$H$22/1000</f>
        <v>2788.6861400000003</v>
      </c>
    </row>
    <row r="24" spans="1:3" x14ac:dyDescent="0.25">
      <c r="A24" s="16" t="s">
        <v>32</v>
      </c>
      <c r="B24" s="17" t="s">
        <v>33</v>
      </c>
      <c r="C24" s="18">
        <f>'[1] Bal 18'!$E$29</f>
        <v>0</v>
      </c>
    </row>
    <row r="25" spans="1:3" x14ac:dyDescent="0.25">
      <c r="A25" s="16" t="s">
        <v>34</v>
      </c>
      <c r="B25" s="17" t="s">
        <v>35</v>
      </c>
      <c r="C25" s="18">
        <f>'[1] Bal 18'!$H$29/1000</f>
        <v>14081.50049</v>
      </c>
    </row>
    <row r="26" spans="1:3" x14ac:dyDescent="0.25">
      <c r="A26" s="16" t="s">
        <v>36</v>
      </c>
      <c r="B26" s="17" t="s">
        <v>37</v>
      </c>
      <c r="C26" s="18">
        <f>'[1] Bal 18'!$H$31/1000</f>
        <v>33.801580000000001</v>
      </c>
    </row>
    <row r="27" spans="1:3" x14ac:dyDescent="0.25">
      <c r="A27" s="16" t="s">
        <v>38</v>
      </c>
      <c r="B27" s="17" t="s">
        <v>39</v>
      </c>
      <c r="C27" s="18">
        <f>'[1] Bal 18'!$E$38</f>
        <v>0</v>
      </c>
    </row>
    <row r="28" spans="1:3" x14ac:dyDescent="0.25">
      <c r="A28" s="16" t="s">
        <v>40</v>
      </c>
      <c r="B28" s="17" t="s">
        <v>41</v>
      </c>
      <c r="C28" s="18">
        <f>('[1] Bal 18'!$H$41+'[1] Bal 18'!$H$46)/1000</f>
        <v>19.982340000000001</v>
      </c>
    </row>
    <row r="29" spans="1:3" x14ac:dyDescent="0.25">
      <c r="A29" s="16" t="s">
        <v>42</v>
      </c>
      <c r="B29" s="23" t="s">
        <v>43</v>
      </c>
      <c r="C29" s="24">
        <f>'[1] Bal 18'!$E$41</f>
        <v>0</v>
      </c>
    </row>
    <row r="30" spans="1:3" x14ac:dyDescent="0.25">
      <c r="A30" s="16" t="s">
        <v>44</v>
      </c>
      <c r="B30" s="17" t="s">
        <v>45</v>
      </c>
      <c r="C30" s="18">
        <f>'[1] Bal 18'!$E$52</f>
        <v>0</v>
      </c>
    </row>
    <row r="31" spans="1:3" x14ac:dyDescent="0.25">
      <c r="A31" s="16" t="s">
        <v>46</v>
      </c>
      <c r="B31" s="17" t="s">
        <v>47</v>
      </c>
      <c r="C31" s="18">
        <f>'[1] Bal 18'!$D$56/1000</f>
        <v>1424.7380000000001</v>
      </c>
    </row>
    <row r="32" spans="1:3" x14ac:dyDescent="0.25">
      <c r="A32" s="20" t="s">
        <v>48</v>
      </c>
      <c r="B32" s="14" t="s">
        <v>49</v>
      </c>
      <c r="C32" s="15">
        <f>SUM(C33:C41)</f>
        <v>1142.86886</v>
      </c>
    </row>
    <row r="33" spans="1:3" x14ac:dyDescent="0.25">
      <c r="A33" s="16" t="s">
        <v>50</v>
      </c>
      <c r="B33" s="17" t="s">
        <v>51</v>
      </c>
      <c r="C33" s="18">
        <f>'[1] Bal 18'!$D$62</f>
        <v>0</v>
      </c>
    </row>
    <row r="34" spans="1:3" x14ac:dyDescent="0.25">
      <c r="A34" s="16" t="s">
        <v>52</v>
      </c>
      <c r="B34" s="17" t="s">
        <v>53</v>
      </c>
      <c r="C34" s="18">
        <f>'[1] Bal 18'!$D$62</f>
        <v>0</v>
      </c>
    </row>
    <row r="35" spans="1:3" x14ac:dyDescent="0.25">
      <c r="A35" s="16" t="s">
        <v>54</v>
      </c>
      <c r="B35" s="17" t="s">
        <v>55</v>
      </c>
      <c r="C35" s="18">
        <f>'[1] Bal 18'!$D$62</f>
        <v>0</v>
      </c>
    </row>
    <row r="36" spans="1:3" x14ac:dyDescent="0.25">
      <c r="A36" s="16" t="s">
        <v>56</v>
      </c>
      <c r="B36" s="17" t="s">
        <v>57</v>
      </c>
      <c r="C36" s="18">
        <f>'[1] Bal 18'!$D$62</f>
        <v>0</v>
      </c>
    </row>
    <row r="37" spans="1:3" x14ac:dyDescent="0.25">
      <c r="A37" s="16" t="s">
        <v>58</v>
      </c>
      <c r="B37" s="17" t="s">
        <v>59</v>
      </c>
      <c r="C37" s="18">
        <f>'[1] Bal 18'!$D$62</f>
        <v>0</v>
      </c>
    </row>
    <row r="38" spans="1:3" x14ac:dyDescent="0.25">
      <c r="A38" s="16" t="s">
        <v>60</v>
      </c>
      <c r="B38" s="17" t="s">
        <v>61</v>
      </c>
      <c r="C38" s="18">
        <f>'[1] Bal 18'!$D$62</f>
        <v>0</v>
      </c>
    </row>
    <row r="39" spans="1:3" x14ac:dyDescent="0.25">
      <c r="A39" s="16" t="s">
        <v>62</v>
      </c>
      <c r="B39" s="17" t="s">
        <v>63</v>
      </c>
      <c r="C39" s="18">
        <f>'[1] Bal 18'!$D$62</f>
        <v>0</v>
      </c>
    </row>
    <row r="40" spans="1:3" x14ac:dyDescent="0.25">
      <c r="A40" s="16" t="s">
        <v>64</v>
      </c>
      <c r="B40" s="17" t="s">
        <v>65</v>
      </c>
      <c r="C40" s="18">
        <f>'[1] Bal 18'!$D$65/1000</f>
        <v>1142.86886</v>
      </c>
    </row>
    <row r="41" spans="1:3" x14ac:dyDescent="0.25">
      <c r="A41" s="16" t="s">
        <v>66</v>
      </c>
      <c r="B41" s="17" t="s">
        <v>67</v>
      </c>
      <c r="C41" s="18">
        <f>'[1] Bal 18'!$D$62</f>
        <v>0</v>
      </c>
    </row>
    <row r="42" spans="1:3" x14ac:dyDescent="0.25">
      <c r="A42" s="20" t="s">
        <v>68</v>
      </c>
      <c r="B42" s="25" t="s">
        <v>69</v>
      </c>
      <c r="C42" s="26">
        <f>SUM(C43:C45)</f>
        <v>0</v>
      </c>
    </row>
    <row r="43" spans="1:3" x14ac:dyDescent="0.25">
      <c r="A43" s="16" t="s">
        <v>70</v>
      </c>
      <c r="B43" s="17" t="s">
        <v>71</v>
      </c>
      <c r="C43" s="18">
        <f>'[1] Bal 18'!$D$70</f>
        <v>0</v>
      </c>
    </row>
    <row r="44" spans="1:3" x14ac:dyDescent="0.25">
      <c r="A44" s="16" t="s">
        <v>72</v>
      </c>
      <c r="B44" s="17" t="s">
        <v>73</v>
      </c>
      <c r="C44" s="18">
        <f>'[1] Bal 18'!$D$70</f>
        <v>0</v>
      </c>
    </row>
    <row r="45" spans="1:3" x14ac:dyDescent="0.25">
      <c r="A45" s="16" t="s">
        <v>74</v>
      </c>
      <c r="B45" s="17" t="s">
        <v>75</v>
      </c>
      <c r="C45" s="18">
        <f>'[1] Bal 18'!$D$70</f>
        <v>0</v>
      </c>
    </row>
    <row r="46" spans="1:3" x14ac:dyDescent="0.25">
      <c r="A46" s="20" t="s">
        <v>76</v>
      </c>
      <c r="B46" s="27" t="s">
        <v>77</v>
      </c>
      <c r="C46" s="28">
        <f>SUM(C47,C55,C60,C63)</f>
        <v>9092.0113000000001</v>
      </c>
    </row>
    <row r="47" spans="1:3" x14ac:dyDescent="0.25">
      <c r="A47" s="13" t="s">
        <v>8</v>
      </c>
      <c r="B47" s="14" t="s">
        <v>78</v>
      </c>
      <c r="C47" s="15">
        <f>C48+C49+C50+C51+C52+C53+C54</f>
        <v>418.98176000000001</v>
      </c>
    </row>
    <row r="48" spans="1:3" x14ac:dyDescent="0.25">
      <c r="A48" s="16" t="s">
        <v>10</v>
      </c>
      <c r="B48" s="17" t="s">
        <v>79</v>
      </c>
      <c r="C48" s="29">
        <f>'[1] Bal 18'!$D$74/1000+'[1] Bal 18'!$D$77/1000</f>
        <v>405.57891999999998</v>
      </c>
    </row>
    <row r="49" spans="1:3" x14ac:dyDescent="0.25">
      <c r="A49" s="16" t="s">
        <v>12</v>
      </c>
      <c r="B49" s="17" t="s">
        <v>80</v>
      </c>
      <c r="C49" s="29">
        <f>'[1] Bal 18'!$D$75</f>
        <v>0</v>
      </c>
    </row>
    <row r="50" spans="1:3" x14ac:dyDescent="0.25">
      <c r="A50" s="16" t="s">
        <v>14</v>
      </c>
      <c r="B50" s="17" t="s">
        <v>81</v>
      </c>
      <c r="C50" s="29">
        <f>'[1] Bal 18'!$D$75</f>
        <v>0</v>
      </c>
    </row>
    <row r="51" spans="1:3" x14ac:dyDescent="0.25">
      <c r="A51" s="16" t="s">
        <v>82</v>
      </c>
      <c r="B51" s="17" t="s">
        <v>83</v>
      </c>
      <c r="C51" s="29">
        <f>'[1] Bal 18'!$D$75</f>
        <v>0</v>
      </c>
    </row>
    <row r="52" spans="1:3" x14ac:dyDescent="0.25">
      <c r="A52" s="16" t="s">
        <v>84</v>
      </c>
      <c r="B52" s="17" t="s">
        <v>73</v>
      </c>
      <c r="C52" s="29">
        <f>'[1] Bal 18'!$D$75</f>
        <v>0</v>
      </c>
    </row>
    <row r="53" spans="1:3" x14ac:dyDescent="0.25">
      <c r="A53" s="16" t="s">
        <v>85</v>
      </c>
      <c r="B53" s="17" t="s">
        <v>86</v>
      </c>
      <c r="C53" s="29">
        <f>'[1] Bal 18'!$D$75</f>
        <v>0</v>
      </c>
    </row>
    <row r="54" spans="1:3" x14ac:dyDescent="0.25">
      <c r="A54" s="16" t="s">
        <v>87</v>
      </c>
      <c r="B54" s="17" t="s">
        <v>21</v>
      </c>
      <c r="C54" s="29">
        <f>'[1] Bal 18'!$D$84/1000</f>
        <v>13.402839999999999</v>
      </c>
    </row>
    <row r="55" spans="1:3" x14ac:dyDescent="0.25">
      <c r="A55" s="13" t="s">
        <v>22</v>
      </c>
      <c r="B55" s="14" t="s">
        <v>88</v>
      </c>
      <c r="C55" s="15">
        <f>SUM(C56:C59)</f>
        <v>6819.8864200000007</v>
      </c>
    </row>
    <row r="56" spans="1:3" x14ac:dyDescent="0.25">
      <c r="A56" s="16" t="s">
        <v>24</v>
      </c>
      <c r="B56" s="17" t="s">
        <v>89</v>
      </c>
      <c r="C56" s="18">
        <f>'[1] Bal 18'!$D$87/1000</f>
        <v>6511.2379900000005</v>
      </c>
    </row>
    <row r="57" spans="1:3" x14ac:dyDescent="0.25">
      <c r="A57" s="16" t="s">
        <v>90</v>
      </c>
      <c r="B57" s="17" t="s">
        <v>91</v>
      </c>
      <c r="C57" s="18">
        <f>'[1] Bal 18'!$E$88</f>
        <v>0</v>
      </c>
    </row>
    <row r="58" spans="1:3" x14ac:dyDescent="0.25">
      <c r="A58" s="16" t="s">
        <v>92</v>
      </c>
      <c r="B58" s="17" t="s">
        <v>93</v>
      </c>
      <c r="C58" s="18">
        <f>'[1] Bal 18'!$E$88</f>
        <v>0</v>
      </c>
    </row>
    <row r="59" spans="1:3" x14ac:dyDescent="0.25">
      <c r="A59" s="16" t="s">
        <v>94</v>
      </c>
      <c r="B59" s="17" t="s">
        <v>95</v>
      </c>
      <c r="C59" s="18">
        <f>'[1] Bal 18'!$D$98/1000+'[1] Bal 18'!$D$120/1000+'[1] Bal 18'!$D$126/1000</f>
        <v>308.64842999999996</v>
      </c>
    </row>
    <row r="60" spans="1:3" x14ac:dyDescent="0.25">
      <c r="A60" s="13" t="s">
        <v>48</v>
      </c>
      <c r="B60" s="14" t="s">
        <v>96</v>
      </c>
      <c r="C60" s="15">
        <f>C61+C62</f>
        <v>0</v>
      </c>
    </row>
    <row r="61" spans="1:3" x14ac:dyDescent="0.25">
      <c r="A61" s="13" t="s">
        <v>50</v>
      </c>
      <c r="B61" s="30" t="s">
        <v>51</v>
      </c>
      <c r="C61" s="19">
        <f>'[1] Bal 18'!$E$111</f>
        <v>0</v>
      </c>
    </row>
    <row r="62" spans="1:3" x14ac:dyDescent="0.25">
      <c r="A62" s="13" t="s">
        <v>52</v>
      </c>
      <c r="B62" s="30" t="s">
        <v>97</v>
      </c>
      <c r="C62" s="19">
        <f>'[1] Bal 18'!$E$111</f>
        <v>0</v>
      </c>
    </row>
    <row r="63" spans="1:3" x14ac:dyDescent="0.25">
      <c r="A63" s="13" t="s">
        <v>68</v>
      </c>
      <c r="B63" s="31" t="s">
        <v>98</v>
      </c>
      <c r="C63" s="19">
        <f>'[1] Bal 18'!$D$128/1000</f>
        <v>1853.1431200000002</v>
      </c>
    </row>
    <row r="64" spans="1:3" ht="15.75" thickBot="1" x14ac:dyDescent="0.3">
      <c r="A64" s="13" t="s">
        <v>99</v>
      </c>
      <c r="B64" s="32" t="s">
        <v>100</v>
      </c>
      <c r="C64" s="33">
        <f>'[1] Bal 18'!$D$139/1000</f>
        <v>16.916340000000002</v>
      </c>
    </row>
    <row r="65" spans="1:3" ht="16.5" thickTop="1" thickBot="1" x14ac:dyDescent="0.3">
      <c r="A65" s="13"/>
      <c r="B65" s="34" t="s">
        <v>101</v>
      </c>
      <c r="C65" s="35">
        <f>SUM(C11,C46,C64)</f>
        <v>33577.11303</v>
      </c>
    </row>
    <row r="66" spans="1:3" ht="15.75" thickTop="1" x14ac:dyDescent="0.25">
      <c r="A66" s="10" t="s">
        <v>102</v>
      </c>
      <c r="B66" s="11" t="s">
        <v>103</v>
      </c>
      <c r="C66" s="36">
        <f>SUM(C67,C71,C72,C73,C77)</f>
        <v>27593.245540000004</v>
      </c>
    </row>
    <row r="67" spans="1:3" x14ac:dyDescent="0.25">
      <c r="A67" s="13" t="s">
        <v>8</v>
      </c>
      <c r="B67" s="14" t="s">
        <v>104</v>
      </c>
      <c r="C67" s="15">
        <f>C68+C69+C70</f>
        <v>2390.3192000000004</v>
      </c>
    </row>
    <row r="68" spans="1:3" x14ac:dyDescent="0.25">
      <c r="A68" s="37" t="s">
        <v>10</v>
      </c>
      <c r="B68" s="38" t="s">
        <v>105</v>
      </c>
      <c r="C68" s="19">
        <f>'[1] Bal 18'!$D$145/1000</f>
        <v>2390.3192000000004</v>
      </c>
    </row>
    <row r="69" spans="1:3" x14ac:dyDescent="0.25">
      <c r="A69" s="37" t="s">
        <v>12</v>
      </c>
      <c r="B69" s="38" t="s">
        <v>106</v>
      </c>
      <c r="C69" s="19">
        <f>'[1] Bal 18'!$E$145</f>
        <v>0</v>
      </c>
    </row>
    <row r="70" spans="1:3" x14ac:dyDescent="0.25">
      <c r="A70" s="37" t="s">
        <v>14</v>
      </c>
      <c r="B70" s="38" t="s">
        <v>107</v>
      </c>
      <c r="C70" s="19">
        <f>'[1] Bal 18'!$E$146</f>
        <v>0</v>
      </c>
    </row>
    <row r="71" spans="1:3" x14ac:dyDescent="0.25">
      <c r="A71" s="13" t="s">
        <v>22</v>
      </c>
      <c r="B71" s="14" t="s">
        <v>108</v>
      </c>
      <c r="C71" s="19">
        <f>'[1] Bal 18'!$E$146</f>
        <v>0</v>
      </c>
    </row>
    <row r="72" spans="1:3" x14ac:dyDescent="0.25">
      <c r="A72" s="13" t="s">
        <v>48</v>
      </c>
      <c r="B72" s="14" t="s">
        <v>109</v>
      </c>
      <c r="C72" s="19">
        <f>'[1] Bal 18'!$D$147/1000</f>
        <v>0</v>
      </c>
    </row>
    <row r="73" spans="1:3" x14ac:dyDescent="0.25">
      <c r="A73" s="13" t="s">
        <v>68</v>
      </c>
      <c r="B73" s="14" t="s">
        <v>110</v>
      </c>
      <c r="C73" s="15">
        <f>SUM(C74,C75,C76)</f>
        <v>24182.744180000002</v>
      </c>
    </row>
    <row r="74" spans="1:3" x14ac:dyDescent="0.25">
      <c r="A74" s="16" t="s">
        <v>70</v>
      </c>
      <c r="B74" s="17" t="s">
        <v>111</v>
      </c>
      <c r="C74" s="18">
        <f>'[1] Bal 18'!$D$150/1000</f>
        <v>239.03164999999998</v>
      </c>
    </row>
    <row r="75" spans="1:3" x14ac:dyDescent="0.25">
      <c r="A75" s="16" t="s">
        <v>72</v>
      </c>
      <c r="B75" s="17" t="s">
        <v>112</v>
      </c>
      <c r="C75" s="18">
        <f>'[1] Bal 18'!$D$156/1000</f>
        <v>1000</v>
      </c>
    </row>
    <row r="76" spans="1:3" x14ac:dyDescent="0.25">
      <c r="A76" s="16" t="s">
        <v>74</v>
      </c>
      <c r="B76" s="17" t="s">
        <v>113</v>
      </c>
      <c r="C76" s="18">
        <f>('[1] Bal 18'!$D$151+'[1] Bal 18'!$D$152+'[1] Bal 18'!$D$153+'[1] Bal 18'!$D$154)/1000</f>
        <v>22943.712530000001</v>
      </c>
    </row>
    <row r="77" spans="1:3" x14ac:dyDescent="0.25">
      <c r="A77" s="13" t="s">
        <v>114</v>
      </c>
      <c r="B77" s="14" t="s">
        <v>115</v>
      </c>
      <c r="C77" s="15">
        <f>C78+C79</f>
        <v>1020.18216</v>
      </c>
    </row>
    <row r="78" spans="1:3" x14ac:dyDescent="0.25">
      <c r="A78" s="16" t="s">
        <v>116</v>
      </c>
      <c r="B78" s="17" t="s">
        <v>117</v>
      </c>
      <c r="C78" s="18">
        <f>'[1] Bal 18'!$D$369/1000</f>
        <v>1361.6453899999999</v>
      </c>
    </row>
    <row r="79" spans="1:3" x14ac:dyDescent="0.25">
      <c r="A79" s="16" t="s">
        <v>118</v>
      </c>
      <c r="B79" s="17" t="s">
        <v>119</v>
      </c>
      <c r="C79" s="18">
        <f>'[1] Bal 18'!$D$157/1000</f>
        <v>-341.46322999999995</v>
      </c>
    </row>
    <row r="80" spans="1:3" x14ac:dyDescent="0.25">
      <c r="A80" s="13" t="s">
        <v>120</v>
      </c>
      <c r="B80" s="27" t="s">
        <v>121</v>
      </c>
      <c r="C80" s="28">
        <f>SUM(C81,C82)</f>
        <v>1442.3335300000001</v>
      </c>
    </row>
    <row r="81" spans="1:3" x14ac:dyDescent="0.25">
      <c r="A81" s="13" t="s">
        <v>8</v>
      </c>
      <c r="B81" s="14" t="s">
        <v>122</v>
      </c>
      <c r="C81" s="19">
        <f>'[1] Bal 18'!$D$164/1000</f>
        <v>1442.3335300000001</v>
      </c>
    </row>
    <row r="82" spans="1:3" x14ac:dyDescent="0.25">
      <c r="A82" s="13" t="s">
        <v>22</v>
      </c>
      <c r="B82" s="14" t="s">
        <v>123</v>
      </c>
      <c r="C82" s="19">
        <f>'[1] Bal 18'!$E$165</f>
        <v>0</v>
      </c>
    </row>
    <row r="83" spans="1:3" x14ac:dyDescent="0.25">
      <c r="A83" s="39" t="s">
        <v>124</v>
      </c>
      <c r="B83" s="27" t="s">
        <v>125</v>
      </c>
      <c r="C83" s="28">
        <f>C84+C85+C86</f>
        <v>22.45589</v>
      </c>
    </row>
    <row r="84" spans="1:3" x14ac:dyDescent="0.25">
      <c r="A84" s="13" t="s">
        <v>8</v>
      </c>
      <c r="B84" s="14" t="s">
        <v>126</v>
      </c>
      <c r="C84" s="19">
        <f>'[1] Bal 18'!$E$167</f>
        <v>0</v>
      </c>
    </row>
    <row r="85" spans="1:3" x14ac:dyDescent="0.25">
      <c r="A85" s="13" t="s">
        <v>22</v>
      </c>
      <c r="B85" s="14" t="s">
        <v>127</v>
      </c>
      <c r="C85" s="19">
        <f>'[1] Bal 18'!$E$167</f>
        <v>0</v>
      </c>
    </row>
    <row r="86" spans="1:3" x14ac:dyDescent="0.25">
      <c r="A86" s="13" t="s">
        <v>48</v>
      </c>
      <c r="B86" s="14" t="s">
        <v>128</v>
      </c>
      <c r="C86" s="19">
        <f>'[1] Bal 18'!$D$173/1000</f>
        <v>22.45589</v>
      </c>
    </row>
    <row r="87" spans="1:3" x14ac:dyDescent="0.25">
      <c r="A87" s="13" t="s">
        <v>129</v>
      </c>
      <c r="B87" s="27" t="s">
        <v>130</v>
      </c>
      <c r="C87" s="28">
        <f>SUM(C88,C97)</f>
        <v>4327.4560700000002</v>
      </c>
    </row>
    <row r="88" spans="1:3" x14ac:dyDescent="0.25">
      <c r="A88" s="13" t="s">
        <v>8</v>
      </c>
      <c r="B88" s="14" t="s">
        <v>131</v>
      </c>
      <c r="C88" s="15">
        <f>SUM(C89,C90,C91,C92,C93,C94,C95,C96)</f>
        <v>783.69257999999991</v>
      </c>
    </row>
    <row r="89" spans="1:3" x14ac:dyDescent="0.25">
      <c r="A89" s="16" t="s">
        <v>10</v>
      </c>
      <c r="B89" s="17" t="s">
        <v>132</v>
      </c>
      <c r="C89" s="29">
        <f>('[1] Bal 18'!$D$176+'[1] Bal 18'!$D$177)/1000</f>
        <v>736.89271999999994</v>
      </c>
    </row>
    <row r="90" spans="1:3" x14ac:dyDescent="0.25">
      <c r="A90" s="16" t="s">
        <v>12</v>
      </c>
      <c r="B90" s="17" t="s">
        <v>133</v>
      </c>
      <c r="C90" s="29">
        <f>'[1] Bal 18'!$D$181/1000</f>
        <v>0</v>
      </c>
    </row>
    <row r="91" spans="1:3" x14ac:dyDescent="0.25">
      <c r="A91" s="16" t="s">
        <v>14</v>
      </c>
      <c r="B91" s="17" t="s">
        <v>134</v>
      </c>
      <c r="C91" s="29">
        <f>'[1] Bal 18'!$D$184/1000</f>
        <v>0</v>
      </c>
    </row>
    <row r="92" spans="1:3" x14ac:dyDescent="0.25">
      <c r="A92" s="16" t="s">
        <v>82</v>
      </c>
      <c r="B92" s="17" t="s">
        <v>135</v>
      </c>
      <c r="C92" s="29">
        <f>'[1] Bal 18'!$D$186/1000</f>
        <v>46.799860000000002</v>
      </c>
    </row>
    <row r="93" spans="1:3" x14ac:dyDescent="0.25">
      <c r="A93" s="16" t="s">
        <v>84</v>
      </c>
      <c r="B93" s="17" t="s">
        <v>136</v>
      </c>
      <c r="C93" s="18">
        <f>'[1] Bal 18'!$E$187</f>
        <v>0</v>
      </c>
    </row>
    <row r="94" spans="1:3" x14ac:dyDescent="0.25">
      <c r="A94" s="16" t="s">
        <v>85</v>
      </c>
      <c r="B94" s="17" t="s">
        <v>137</v>
      </c>
      <c r="C94" s="18">
        <f>'[1] Bal 18'!$E$187</f>
        <v>0</v>
      </c>
    </row>
    <row r="95" spans="1:3" x14ac:dyDescent="0.25">
      <c r="A95" s="16" t="s">
        <v>87</v>
      </c>
      <c r="B95" s="17" t="s">
        <v>138</v>
      </c>
      <c r="C95" s="18">
        <f>'[1] Bal 18'!$E$187</f>
        <v>0</v>
      </c>
    </row>
    <row r="96" spans="1:3" x14ac:dyDescent="0.25">
      <c r="A96" s="16" t="s">
        <v>139</v>
      </c>
      <c r="B96" s="17" t="s">
        <v>140</v>
      </c>
      <c r="C96" s="18">
        <f>'[1] Bal 18'!$E$187</f>
        <v>0</v>
      </c>
    </row>
    <row r="97" spans="1:3" x14ac:dyDescent="0.25">
      <c r="A97" s="13" t="s">
        <v>22</v>
      </c>
      <c r="B97" s="14" t="s">
        <v>141</v>
      </c>
      <c r="C97" s="15">
        <f>SUM(C98:C101,C103:C108)</f>
        <v>3543.7634900000003</v>
      </c>
    </row>
    <row r="98" spans="1:3" x14ac:dyDescent="0.25">
      <c r="A98" s="16" t="s">
        <v>24</v>
      </c>
      <c r="B98" s="17" t="s">
        <v>132</v>
      </c>
      <c r="C98" s="18">
        <f>('[1] Bal 18'!$D$189)/1000</f>
        <v>22.455569999999998</v>
      </c>
    </row>
    <row r="99" spans="1:3" x14ac:dyDescent="0.25">
      <c r="A99" s="16" t="s">
        <v>90</v>
      </c>
      <c r="B99" s="17" t="s">
        <v>133</v>
      </c>
      <c r="C99" s="29">
        <f>'[1] Bal 18'!$D$196/1000</f>
        <v>165.25522000000001</v>
      </c>
    </row>
    <row r="100" spans="1:3" x14ac:dyDescent="0.25">
      <c r="A100" s="16" t="s">
        <v>92</v>
      </c>
      <c r="B100" s="17" t="s">
        <v>134</v>
      </c>
      <c r="C100" s="29">
        <f>'[1] Bal 18'!$D$201/1000</f>
        <v>128.48926</v>
      </c>
    </row>
    <row r="101" spans="1:3" x14ac:dyDescent="0.25">
      <c r="A101" s="16" t="s">
        <v>94</v>
      </c>
      <c r="B101" s="17" t="s">
        <v>135</v>
      </c>
      <c r="C101" s="29">
        <f>'[1] Bal 18'!$D$205/1000</f>
        <v>1436.0291000000002</v>
      </c>
    </row>
    <row r="102" spans="1:3" x14ac:dyDescent="0.25">
      <c r="A102" s="40" t="s">
        <v>142</v>
      </c>
      <c r="B102" s="41" t="s">
        <v>143</v>
      </c>
      <c r="C102" s="18">
        <f>'[1] Bal 18'!$E$205</f>
        <v>0</v>
      </c>
    </row>
    <row r="103" spans="1:3" x14ac:dyDescent="0.25">
      <c r="A103" s="16" t="s">
        <v>144</v>
      </c>
      <c r="B103" s="17" t="s">
        <v>136</v>
      </c>
      <c r="C103" s="18">
        <f>'[1] Bal 18'!$E$205</f>
        <v>0</v>
      </c>
    </row>
    <row r="104" spans="1:3" x14ac:dyDescent="0.25">
      <c r="A104" s="16" t="s">
        <v>145</v>
      </c>
      <c r="B104" s="17" t="s">
        <v>137</v>
      </c>
      <c r="C104" s="18">
        <f>'[1] Bal 18'!$E$205</f>
        <v>0</v>
      </c>
    </row>
    <row r="105" spans="1:3" x14ac:dyDescent="0.25">
      <c r="A105" s="16" t="s">
        <v>146</v>
      </c>
      <c r="B105" s="17" t="s">
        <v>138</v>
      </c>
      <c r="C105" s="18">
        <f>'[1] Bal 18'!$E$205</f>
        <v>0</v>
      </c>
    </row>
    <row r="106" spans="1:3" x14ac:dyDescent="0.25">
      <c r="A106" s="16" t="s">
        <v>147</v>
      </c>
      <c r="B106" s="17" t="s">
        <v>148</v>
      </c>
      <c r="C106" s="29">
        <f>'[1] Bal 18'!$D$225/1000</f>
        <v>96.307000000000002</v>
      </c>
    </row>
    <row r="107" spans="1:3" x14ac:dyDescent="0.25">
      <c r="A107" s="16" t="s">
        <v>149</v>
      </c>
      <c r="B107" s="17" t="s">
        <v>150</v>
      </c>
      <c r="C107" s="29">
        <f>'[1] Bal 18'!$D$208/1000</f>
        <v>740.80705</v>
      </c>
    </row>
    <row r="108" spans="1:3" x14ac:dyDescent="0.25">
      <c r="A108" s="16" t="s">
        <v>151</v>
      </c>
      <c r="B108" s="17" t="s">
        <v>152</v>
      </c>
      <c r="C108" s="29">
        <f>'[1] Bal 18'!$D$214/1000</f>
        <v>954.42029000000002</v>
      </c>
    </row>
    <row r="109" spans="1:3" ht="15.75" thickBot="1" x14ac:dyDescent="0.3">
      <c r="A109" s="42" t="s">
        <v>153</v>
      </c>
      <c r="B109" s="43" t="s">
        <v>154</v>
      </c>
      <c r="C109" s="29">
        <v>0</v>
      </c>
    </row>
    <row r="110" spans="1:3" ht="16.5" thickTop="1" thickBot="1" x14ac:dyDescent="0.3">
      <c r="A110" s="44"/>
      <c r="B110" s="45" t="s">
        <v>155</v>
      </c>
      <c r="C110" s="46">
        <f>SUM(C66,C80,C83,C87,C109)</f>
        <v>33385.491030000005</v>
      </c>
    </row>
    <row r="111" spans="1:3" ht="15.75" thickTop="1" x14ac:dyDescent="0.25"/>
  </sheetData>
  <sheetProtection algorithmName="SHA-512" hashValue="LYeuItBSuPcyN/acvmKsTJe8eWg59AzNO0MhdGBo8RiLAYNEeKi83LQgbHQexT4hnFTe09LLfODiFnqi36uvKg==" saltValue="XtXAq610AUJA0CZJ3yrnWwvgAY4tStNdkDlwmzyxTBIxOQIEP3a/ym1EYG605o/kw/OzXuGqNzYeg1kIZ7HyKg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5"/>
  <sheetViews>
    <sheetView topLeftCell="A10" workbookViewId="0">
      <selection activeCell="H26" sqref="H26"/>
    </sheetView>
  </sheetViews>
  <sheetFormatPr defaultRowHeight="15" x14ac:dyDescent="0.25"/>
  <cols>
    <col min="1" max="1" width="9.7109375" customWidth="1"/>
    <col min="2" max="2" width="76.140625" style="7" customWidth="1"/>
    <col min="3" max="3" width="13.42578125" customWidth="1"/>
    <col min="4" max="4" width="41.85546875" customWidth="1"/>
    <col min="5" max="5" width="10.7109375" customWidth="1"/>
    <col min="6" max="6" width="21.7109375" customWidth="1"/>
    <col min="7" max="7" width="9" customWidth="1"/>
  </cols>
  <sheetData>
    <row r="1" spans="1:7" x14ac:dyDescent="0.25">
      <c r="A1" s="960" t="s">
        <v>0</v>
      </c>
      <c r="B1" s="961"/>
      <c r="C1" s="961"/>
      <c r="D1" s="962"/>
    </row>
    <row r="2" spans="1:7" x14ac:dyDescent="0.25">
      <c r="A2" s="960" t="s">
        <v>1</v>
      </c>
      <c r="B2" s="961"/>
      <c r="C2" s="961"/>
      <c r="D2" s="962"/>
    </row>
    <row r="3" spans="1:7" x14ac:dyDescent="0.25">
      <c r="A3" s="963"/>
      <c r="B3" s="964"/>
      <c r="C3" s="964"/>
      <c r="D3" s="965"/>
    </row>
    <row r="4" spans="1:7" x14ac:dyDescent="0.25">
      <c r="A4" s="1"/>
      <c r="B4" s="587"/>
      <c r="C4" s="1"/>
      <c r="D4" s="1"/>
    </row>
    <row r="5" spans="1:7" x14ac:dyDescent="0.25">
      <c r="A5" s="966" t="s">
        <v>888</v>
      </c>
      <c r="B5" s="967"/>
      <c r="C5" s="967"/>
      <c r="D5" s="968"/>
    </row>
    <row r="6" spans="1:7" x14ac:dyDescent="0.25">
      <c r="A6" s="1"/>
      <c r="B6" s="587"/>
      <c r="C6" s="1"/>
      <c r="D6" s="1"/>
    </row>
    <row r="8" spans="1:7" ht="15.75" thickBot="1" x14ac:dyDescent="0.3">
      <c r="A8" s="588" t="s">
        <v>645</v>
      </c>
      <c r="B8" s="1087" t="s">
        <v>889</v>
      </c>
      <c r="C8" s="1087"/>
      <c r="D8" s="1087"/>
      <c r="E8" s="589"/>
      <c r="F8" s="589"/>
      <c r="G8" s="589"/>
    </row>
    <row r="9" spans="1:7" ht="15.75" thickBot="1" x14ac:dyDescent="0.3">
      <c r="A9" s="207" t="s">
        <v>4</v>
      </c>
      <c r="B9" s="590" t="s">
        <v>890</v>
      </c>
      <c r="C9" s="591" t="s">
        <v>1600</v>
      </c>
      <c r="D9" s="592" t="s">
        <v>891</v>
      </c>
      <c r="E9" s="589"/>
      <c r="F9" s="593"/>
      <c r="G9" s="589"/>
    </row>
    <row r="10" spans="1:7" x14ac:dyDescent="0.25">
      <c r="A10" s="229"/>
      <c r="B10" s="594" t="s">
        <v>892</v>
      </c>
      <c r="C10" s="595">
        <f>SUM(C11,C21,C22)</f>
        <v>3032.7506023311262</v>
      </c>
      <c r="D10" s="596" t="s">
        <v>893</v>
      </c>
      <c r="E10" s="597"/>
      <c r="F10" s="593"/>
      <c r="G10" s="598"/>
    </row>
    <row r="11" spans="1:7" x14ac:dyDescent="0.25">
      <c r="A11" s="212">
        <v>1</v>
      </c>
      <c r="B11" s="599" t="s">
        <v>894</v>
      </c>
      <c r="C11" s="213">
        <f>SUM(C12,C13,C14,C15,C16,C17,C18,C19,C20)</f>
        <v>2362.6278100379204</v>
      </c>
      <c r="D11" s="496" t="s">
        <v>895</v>
      </c>
      <c r="E11" s="597"/>
      <c r="F11" s="593"/>
      <c r="G11" s="598"/>
    </row>
    <row r="12" spans="1:7" x14ac:dyDescent="0.25">
      <c r="A12" s="57" t="s">
        <v>285</v>
      </c>
      <c r="B12" s="91" t="s">
        <v>896</v>
      </c>
      <c r="C12" s="223">
        <f>SUM(C55,C115,C187,C205,C217,C233,C245,C262,C272,C284)</f>
        <v>0</v>
      </c>
      <c r="D12" s="496" t="s">
        <v>897</v>
      </c>
      <c r="E12" s="597"/>
      <c r="F12" s="593"/>
      <c r="G12" s="598"/>
    </row>
    <row r="13" spans="1:7" x14ac:dyDescent="0.25">
      <c r="A13" s="57" t="s">
        <v>295</v>
      </c>
      <c r="B13" s="91" t="s">
        <v>898</v>
      </c>
      <c r="C13" s="223">
        <f>SUM(C56,C116,C188,C199,C206,C218,C234,C246,C263,C273,C285)</f>
        <v>0</v>
      </c>
      <c r="D13" s="496" t="s">
        <v>899</v>
      </c>
      <c r="E13" s="534"/>
      <c r="F13" s="593"/>
      <c r="G13" s="598"/>
    </row>
    <row r="14" spans="1:7" x14ac:dyDescent="0.25">
      <c r="A14" s="57" t="s">
        <v>297</v>
      </c>
      <c r="B14" s="91" t="s">
        <v>900</v>
      </c>
      <c r="C14" s="223">
        <f>SUM(C57,C117,C189,C207,C219,C229,C235,C247,C264,C274,C286)</f>
        <v>0</v>
      </c>
      <c r="D14" s="94" t="s">
        <v>901</v>
      </c>
      <c r="E14" s="71"/>
      <c r="F14" s="593"/>
      <c r="G14" s="124"/>
    </row>
    <row r="15" spans="1:7" x14ac:dyDescent="0.25">
      <c r="A15" s="57" t="s">
        <v>16</v>
      </c>
      <c r="B15" s="91" t="s">
        <v>902</v>
      </c>
      <c r="C15" s="223">
        <f>SUM(C58,C118,C190,C208,C220,C236,C248,C265,C275,C287)</f>
        <v>0</v>
      </c>
      <c r="D15" s="496" t="s">
        <v>903</v>
      </c>
      <c r="E15" s="597"/>
      <c r="F15" s="598"/>
      <c r="G15" s="598"/>
    </row>
    <row r="16" spans="1:7" x14ac:dyDescent="0.25">
      <c r="A16" s="57" t="s">
        <v>18</v>
      </c>
      <c r="B16" s="91" t="s">
        <v>904</v>
      </c>
      <c r="C16" s="223">
        <f>SUM(C59,C119,C191,C200,C209,C221,C230,C237,C249,C266,C276,C288)</f>
        <v>0</v>
      </c>
      <c r="D16" s="496" t="s">
        <v>905</v>
      </c>
      <c r="E16" s="597"/>
      <c r="F16" s="598"/>
      <c r="G16" s="598"/>
    </row>
    <row r="17" spans="1:7" x14ac:dyDescent="0.25">
      <c r="A17" s="57" t="s">
        <v>20</v>
      </c>
      <c r="B17" s="91" t="s">
        <v>906</v>
      </c>
      <c r="C17" s="223">
        <f>SUM(C60,C120,C192,C201,C210,C222,C238,C250,C267,C277,C289)</f>
        <v>0</v>
      </c>
      <c r="D17" s="496" t="s">
        <v>907</v>
      </c>
      <c r="E17" s="597"/>
      <c r="F17" s="598"/>
      <c r="G17" s="598"/>
    </row>
    <row r="18" spans="1:7" x14ac:dyDescent="0.25">
      <c r="A18" s="57" t="s">
        <v>747</v>
      </c>
      <c r="B18" s="91" t="s">
        <v>908</v>
      </c>
      <c r="C18" s="223">
        <f>SUM(C61,C121,C193,C203,C211,C223,C231,C239,C251,C268,C278,C290)</f>
        <v>2362.6278100379204</v>
      </c>
      <c r="D18" s="496" t="s">
        <v>909</v>
      </c>
      <c r="E18" s="597"/>
      <c r="F18" s="598"/>
      <c r="G18" s="598"/>
    </row>
    <row r="19" spans="1:7" ht="25.5" x14ac:dyDescent="0.25">
      <c r="A19" s="57" t="s">
        <v>756</v>
      </c>
      <c r="B19" s="91" t="s">
        <v>910</v>
      </c>
      <c r="C19" s="223">
        <f>SUM(C62,C122,C194,C212,C224,C240,C252,C269,C279,C291)</f>
        <v>0</v>
      </c>
      <c r="D19" s="496" t="s">
        <v>911</v>
      </c>
      <c r="E19" s="597"/>
      <c r="F19" s="598"/>
      <c r="G19" s="598"/>
    </row>
    <row r="20" spans="1:7" ht="25.5" x14ac:dyDescent="0.25">
      <c r="A20" s="57" t="s">
        <v>770</v>
      </c>
      <c r="B20" s="91" t="s">
        <v>912</v>
      </c>
      <c r="C20" s="223">
        <f>SUM(C63,C123,C195,C213,C225,C241,C253,C270,C280,C292)</f>
        <v>0</v>
      </c>
      <c r="D20" s="496" t="s">
        <v>913</v>
      </c>
      <c r="E20" s="597"/>
      <c r="F20" s="598"/>
      <c r="G20" s="598"/>
    </row>
    <row r="21" spans="1:7" ht="25.5" x14ac:dyDescent="0.25">
      <c r="A21" s="212">
        <v>2</v>
      </c>
      <c r="B21" s="599" t="s">
        <v>914</v>
      </c>
      <c r="C21" s="213">
        <f>SUM(C64,C124,C196,C214,C226,C242,C254,C281,C293)</f>
        <v>540.24494791562563</v>
      </c>
      <c r="D21" s="600" t="s">
        <v>915</v>
      </c>
      <c r="E21" s="597"/>
      <c r="F21" s="598"/>
      <c r="G21" s="598"/>
    </row>
    <row r="22" spans="1:7" ht="26.25" thickBot="1" x14ac:dyDescent="0.3">
      <c r="A22" s="601">
        <v>3</v>
      </c>
      <c r="B22" s="602" t="s">
        <v>916</v>
      </c>
      <c r="C22" s="603">
        <f>SUM(C65,C125,C197,C215,C227,C243,C255,C282,C294)</f>
        <v>129.87784437757986</v>
      </c>
      <c r="D22" s="604" t="s">
        <v>917</v>
      </c>
      <c r="E22" s="71"/>
      <c r="F22" s="124"/>
      <c r="G22" s="124"/>
    </row>
    <row r="23" spans="1:7" ht="15.75" thickBot="1" x14ac:dyDescent="0.3">
      <c r="A23" s="605" t="s">
        <v>8</v>
      </c>
      <c r="B23" s="606" t="s">
        <v>918</v>
      </c>
      <c r="C23" s="607">
        <f>SUM(C24:C39,C48:C51)</f>
        <v>17446.129577668875</v>
      </c>
      <c r="D23" s="608" t="s">
        <v>919</v>
      </c>
      <c r="E23" s="51"/>
      <c r="F23" s="51"/>
      <c r="G23" s="51"/>
    </row>
    <row r="24" spans="1:7" x14ac:dyDescent="0.25">
      <c r="A24" s="85" t="s">
        <v>10</v>
      </c>
      <c r="B24" s="609" t="s">
        <v>920</v>
      </c>
      <c r="C24" s="610">
        <f>'[2]12'!I52</f>
        <v>32.440220000000004</v>
      </c>
      <c r="D24" s="611"/>
      <c r="E24" s="51"/>
      <c r="F24" s="51"/>
      <c r="G24" s="51"/>
    </row>
    <row r="25" spans="1:7" x14ac:dyDescent="0.25">
      <c r="A25" s="57" t="s">
        <v>12</v>
      </c>
      <c r="B25" s="91" t="s">
        <v>921</v>
      </c>
      <c r="C25" s="275">
        <f>'[2]12'!I53</f>
        <v>7.4800000000000005E-3</v>
      </c>
      <c r="D25" s="496"/>
      <c r="E25" s="51"/>
      <c r="F25" s="51"/>
      <c r="G25" s="51"/>
    </row>
    <row r="26" spans="1:7" x14ac:dyDescent="0.25">
      <c r="A26" s="141" t="s">
        <v>14</v>
      </c>
      <c r="B26" s="91" t="s">
        <v>922</v>
      </c>
      <c r="C26" s="275">
        <f>'[2]12'!I54</f>
        <v>0</v>
      </c>
      <c r="D26" s="496"/>
      <c r="E26" s="51"/>
      <c r="F26" s="51"/>
      <c r="G26" s="51"/>
    </row>
    <row r="27" spans="1:7" x14ac:dyDescent="0.25">
      <c r="A27" s="141" t="s">
        <v>82</v>
      </c>
      <c r="B27" s="91" t="s">
        <v>923</v>
      </c>
      <c r="C27" s="275">
        <f>'[2]12'!I55</f>
        <v>9.0215999999999994</v>
      </c>
      <c r="D27" s="496"/>
      <c r="E27" s="51"/>
      <c r="F27" s="51"/>
      <c r="G27" s="51"/>
    </row>
    <row r="28" spans="1:7" x14ac:dyDescent="0.25">
      <c r="A28" s="57" t="s">
        <v>84</v>
      </c>
      <c r="B28" s="91" t="s">
        <v>924</v>
      </c>
      <c r="C28" s="275">
        <f>'[2]12'!I56</f>
        <v>9.8935300000000002</v>
      </c>
      <c r="D28" s="496"/>
      <c r="E28" s="51"/>
      <c r="F28" s="51"/>
      <c r="G28" s="51"/>
    </row>
    <row r="29" spans="1:7" ht="38.25" x14ac:dyDescent="0.25">
      <c r="A29" s="141" t="s">
        <v>85</v>
      </c>
      <c r="B29" s="91" t="s">
        <v>925</v>
      </c>
      <c r="C29" s="275">
        <f>'[2]12'!I57</f>
        <v>1.2206999999999999</v>
      </c>
      <c r="D29" s="496"/>
      <c r="E29" s="51"/>
      <c r="F29" s="51"/>
      <c r="G29" s="51"/>
    </row>
    <row r="30" spans="1:7" x14ac:dyDescent="0.25">
      <c r="A30" s="141" t="s">
        <v>87</v>
      </c>
      <c r="B30" s="91" t="s">
        <v>926</v>
      </c>
      <c r="C30" s="275">
        <f>'[2]12'!I58</f>
        <v>1.25</v>
      </c>
      <c r="D30" s="496"/>
      <c r="E30" s="51"/>
      <c r="F30" s="51"/>
      <c r="G30" s="51"/>
    </row>
    <row r="31" spans="1:7" ht="39" x14ac:dyDescent="0.25">
      <c r="A31" s="57" t="s">
        <v>139</v>
      </c>
      <c r="B31" s="612" t="s">
        <v>927</v>
      </c>
      <c r="C31" s="275">
        <f>'[2]12'!I59</f>
        <v>0</v>
      </c>
      <c r="D31" s="496"/>
      <c r="E31" s="51"/>
      <c r="F31" s="51"/>
      <c r="G31" s="51"/>
    </row>
    <row r="32" spans="1:7" ht="26.25" x14ac:dyDescent="0.25">
      <c r="A32" s="141" t="s">
        <v>928</v>
      </c>
      <c r="B32" s="612" t="s">
        <v>929</v>
      </c>
      <c r="C32" s="275">
        <f>'[2]12'!I60</f>
        <v>43.256529999999998</v>
      </c>
      <c r="D32" s="496"/>
      <c r="E32" s="51"/>
      <c r="F32" s="51"/>
      <c r="G32" s="51"/>
    </row>
    <row r="33" spans="1:7" ht="26.25" x14ac:dyDescent="0.25">
      <c r="A33" s="57" t="s">
        <v>930</v>
      </c>
      <c r="B33" s="612" t="s">
        <v>931</v>
      </c>
      <c r="C33" s="275">
        <f>'[2]12'!I61</f>
        <v>1.9062000000000001</v>
      </c>
      <c r="D33" s="496"/>
      <c r="E33" s="51"/>
      <c r="F33" s="51"/>
      <c r="G33" s="51"/>
    </row>
    <row r="34" spans="1:7" x14ac:dyDescent="0.25">
      <c r="A34" s="57" t="s">
        <v>932</v>
      </c>
      <c r="B34" s="612" t="s">
        <v>933</v>
      </c>
      <c r="C34" s="275">
        <f>'[2]12'!H62</f>
        <v>0</v>
      </c>
      <c r="D34" s="496"/>
      <c r="E34" s="51"/>
      <c r="F34" s="51"/>
      <c r="G34" s="51"/>
    </row>
    <row r="35" spans="1:7" ht="26.25" x14ac:dyDescent="0.25">
      <c r="A35" s="57" t="s">
        <v>934</v>
      </c>
      <c r="B35" s="613" t="s">
        <v>935</v>
      </c>
      <c r="C35" s="275">
        <f>'[2]12'!H62</f>
        <v>0</v>
      </c>
      <c r="D35" s="496"/>
      <c r="E35" s="51"/>
      <c r="F35" s="51"/>
      <c r="G35" s="51"/>
    </row>
    <row r="36" spans="1:7" ht="26.25" x14ac:dyDescent="0.25">
      <c r="A36" s="57" t="s">
        <v>936</v>
      </c>
      <c r="B36" s="612" t="s">
        <v>937</v>
      </c>
      <c r="C36" s="275">
        <f>'[2]12'!I62</f>
        <v>0</v>
      </c>
      <c r="D36" s="496"/>
      <c r="E36" s="51"/>
      <c r="F36" s="51"/>
      <c r="G36" s="51"/>
    </row>
    <row r="37" spans="1:7" x14ac:dyDescent="0.25">
      <c r="A37" s="57" t="s">
        <v>938</v>
      </c>
      <c r="B37" s="612" t="s">
        <v>939</v>
      </c>
      <c r="C37" s="275">
        <f>'[2]12'!I63</f>
        <v>0</v>
      </c>
      <c r="D37" s="496"/>
      <c r="E37" s="51"/>
      <c r="F37" s="51"/>
      <c r="G37" s="51"/>
    </row>
    <row r="38" spans="1:7" ht="26.25" x14ac:dyDescent="0.25">
      <c r="A38" s="57" t="s">
        <v>940</v>
      </c>
      <c r="B38" s="612" t="s">
        <v>941</v>
      </c>
      <c r="C38" s="275">
        <f>'[2]12'!I64</f>
        <v>11.93797314278112</v>
      </c>
      <c r="D38" s="496"/>
      <c r="E38" s="51"/>
      <c r="F38" s="51"/>
      <c r="G38" s="51"/>
    </row>
    <row r="39" spans="1:7" x14ac:dyDescent="0.25">
      <c r="A39" s="57" t="s">
        <v>942</v>
      </c>
      <c r="B39" s="612" t="s">
        <v>943</v>
      </c>
      <c r="C39" s="223">
        <f>SUM(C40:C47)</f>
        <v>49.633430000000004</v>
      </c>
      <c r="D39" s="496"/>
      <c r="E39" s="51"/>
      <c r="F39" s="51"/>
      <c r="G39" s="51"/>
    </row>
    <row r="40" spans="1:7" x14ac:dyDescent="0.25">
      <c r="A40" s="57" t="s">
        <v>944</v>
      </c>
      <c r="B40" s="98" t="s">
        <v>945</v>
      </c>
      <c r="C40" s="275">
        <v>0</v>
      </c>
      <c r="D40" s="496"/>
      <c r="E40" s="51"/>
      <c r="F40" s="51"/>
      <c r="G40" s="51"/>
    </row>
    <row r="41" spans="1:7" x14ac:dyDescent="0.25">
      <c r="A41" s="57" t="s">
        <v>946</v>
      </c>
      <c r="B41" s="98" t="s">
        <v>947</v>
      </c>
      <c r="C41" s="220">
        <v>0</v>
      </c>
      <c r="D41" s="496"/>
      <c r="E41" s="51"/>
      <c r="F41" s="51"/>
      <c r="G41" s="51"/>
    </row>
    <row r="42" spans="1:7" x14ac:dyDescent="0.25">
      <c r="A42" s="57" t="s">
        <v>948</v>
      </c>
      <c r="B42" s="98" t="s">
        <v>949</v>
      </c>
      <c r="C42" s="220">
        <v>0</v>
      </c>
      <c r="D42" s="496"/>
      <c r="E42" s="51"/>
      <c r="F42" s="51"/>
      <c r="G42" s="51"/>
    </row>
    <row r="43" spans="1:7" x14ac:dyDescent="0.25">
      <c r="A43" s="57" t="s">
        <v>950</v>
      </c>
      <c r="B43" s="98" t="s">
        <v>951</v>
      </c>
      <c r="C43" s="220">
        <v>0</v>
      </c>
      <c r="D43" s="496"/>
      <c r="E43" s="51"/>
      <c r="F43" s="51"/>
      <c r="G43" s="51"/>
    </row>
    <row r="44" spans="1:7" x14ac:dyDescent="0.25">
      <c r="A44" s="57" t="s">
        <v>952</v>
      </c>
      <c r="B44" s="98" t="s">
        <v>953</v>
      </c>
      <c r="C44" s="220">
        <v>0</v>
      </c>
      <c r="D44" s="496"/>
      <c r="E44" s="51"/>
      <c r="F44" s="51"/>
      <c r="G44" s="51"/>
    </row>
    <row r="45" spans="1:7" x14ac:dyDescent="0.25">
      <c r="A45" s="57" t="s">
        <v>954</v>
      </c>
      <c r="B45" s="98" t="s">
        <v>955</v>
      </c>
      <c r="C45" s="220">
        <v>0</v>
      </c>
      <c r="D45" s="496"/>
      <c r="E45" s="51"/>
      <c r="F45" s="51"/>
      <c r="G45" s="51"/>
    </row>
    <row r="46" spans="1:7" x14ac:dyDescent="0.25">
      <c r="A46" s="57" t="s">
        <v>956</v>
      </c>
      <c r="B46" s="614" t="s">
        <v>957</v>
      </c>
      <c r="C46" s="220">
        <v>0</v>
      </c>
      <c r="D46" s="496"/>
      <c r="E46" s="51"/>
      <c r="F46" s="51"/>
      <c r="G46" s="51"/>
    </row>
    <row r="47" spans="1:7" x14ac:dyDescent="0.25">
      <c r="A47" s="141" t="s">
        <v>958</v>
      </c>
      <c r="B47" s="615" t="s">
        <v>959</v>
      </c>
      <c r="C47" s="275">
        <f>'[2]12'!H65</f>
        <v>49.633430000000004</v>
      </c>
      <c r="D47" s="496"/>
      <c r="E47" s="51"/>
      <c r="F47" s="51"/>
      <c r="G47" s="51"/>
    </row>
    <row r="48" spans="1:7" ht="25.5" x14ac:dyDescent="0.25">
      <c r="A48" s="57" t="s">
        <v>960</v>
      </c>
      <c r="B48" s="612" t="s">
        <v>961</v>
      </c>
      <c r="C48" s="616">
        <f>'Forma 3'!VAS003_F_UkioSubjektoTiesioginesVIIKitosVeiklos</f>
        <v>12936.616515068317</v>
      </c>
      <c r="D48" s="600" t="s">
        <v>962</v>
      </c>
      <c r="E48" s="51"/>
      <c r="F48" s="51"/>
      <c r="G48" s="51"/>
    </row>
    <row r="49" spans="1:7" ht="26.25" x14ac:dyDescent="0.25">
      <c r="A49" s="57" t="s">
        <v>963</v>
      </c>
      <c r="B49" s="612" t="s">
        <v>964</v>
      </c>
      <c r="C49" s="617">
        <f>'Forma 3'!VAS003_F_NetiesioginiuVeiklosSanauduVIKitosReguliuojamos+'Forma 3'!VAS003_F_NetiesioginiuVeiklosSanauduVIIKitosVeiklos+'Forma 3'!VAS003_F_BendrujuadministraciniuVeiklosVIKitosReguliuojamos+'Forma 3'!VAS003_F_BendrujuadministraciniuVeiklosVIIKitosVeiklos</f>
        <v>4320.9304494577755</v>
      </c>
      <c r="D49" s="600" t="s">
        <v>965</v>
      </c>
      <c r="E49" s="51"/>
      <c r="F49" s="51"/>
      <c r="G49" s="51"/>
    </row>
    <row r="50" spans="1:7" x14ac:dyDescent="0.25">
      <c r="A50" s="57" t="s">
        <v>966</v>
      </c>
      <c r="B50" s="612" t="s">
        <v>967</v>
      </c>
      <c r="C50" s="618">
        <f>'[2]12'!H66</f>
        <v>0</v>
      </c>
      <c r="D50" s="600"/>
      <c r="E50" s="51"/>
      <c r="F50" s="51"/>
      <c r="G50" s="51"/>
    </row>
    <row r="51" spans="1:7" ht="15.75" thickBot="1" x14ac:dyDescent="0.3">
      <c r="A51" s="104" t="s">
        <v>968</v>
      </c>
      <c r="B51" s="619" t="s">
        <v>969</v>
      </c>
      <c r="C51" s="620">
        <f>'[2]12'!H67</f>
        <v>28.014949999999995</v>
      </c>
      <c r="D51" s="500"/>
      <c r="E51" s="51"/>
      <c r="F51" s="51"/>
      <c r="G51" s="51"/>
    </row>
    <row r="52" spans="1:7" ht="39.75" thickBot="1" x14ac:dyDescent="0.3">
      <c r="A52" s="621" t="s">
        <v>970</v>
      </c>
      <c r="B52" s="622" t="s">
        <v>971</v>
      </c>
      <c r="C52" s="623">
        <f>'[2]12'!H64</f>
        <v>11.93797314278112</v>
      </c>
      <c r="D52" s="496"/>
      <c r="E52" s="51"/>
      <c r="F52" s="51"/>
      <c r="G52" s="51"/>
    </row>
    <row r="53" spans="1:7" ht="15.75" thickBot="1" x14ac:dyDescent="0.3">
      <c r="A53" s="605" t="s">
        <v>972</v>
      </c>
      <c r="B53" s="606" t="s">
        <v>973</v>
      </c>
      <c r="C53" s="607">
        <f>SUM(C54,C114,C186,C198,C204,C216,C228,C232,C244,C261,C271,C283)</f>
        <v>3032.7506023311262</v>
      </c>
      <c r="D53" s="624"/>
      <c r="E53" s="625"/>
      <c r="F53" s="626"/>
      <c r="G53" s="626"/>
    </row>
    <row r="54" spans="1:7" x14ac:dyDescent="0.25">
      <c r="A54" s="243" t="s">
        <v>494</v>
      </c>
      <c r="B54" s="273" t="s">
        <v>974</v>
      </c>
      <c r="C54" s="245">
        <f>SUM(C55:C65)</f>
        <v>1313.5770072324217</v>
      </c>
      <c r="D54" s="627"/>
      <c r="E54" s="625"/>
      <c r="F54" s="626"/>
      <c r="G54" s="626"/>
    </row>
    <row r="55" spans="1:7" x14ac:dyDescent="0.25">
      <c r="A55" s="212" t="s">
        <v>975</v>
      </c>
      <c r="B55" s="91" t="s">
        <v>976</v>
      </c>
      <c r="C55" s="628">
        <f t="shared" ref="C55:C65" si="0">SUM(C67,C79,C91,C103)</f>
        <v>0</v>
      </c>
      <c r="D55" s="496" t="s">
        <v>977</v>
      </c>
      <c r="E55" s="597"/>
      <c r="F55" s="598"/>
      <c r="G55" s="598"/>
    </row>
    <row r="56" spans="1:7" x14ac:dyDescent="0.25">
      <c r="A56" s="212" t="s">
        <v>978</v>
      </c>
      <c r="B56" s="91" t="s">
        <v>898</v>
      </c>
      <c r="C56" s="628">
        <f t="shared" si="0"/>
        <v>0</v>
      </c>
      <c r="D56" s="496" t="s">
        <v>979</v>
      </c>
      <c r="E56" s="597"/>
      <c r="F56" s="598"/>
      <c r="G56" s="598"/>
    </row>
    <row r="57" spans="1:7" x14ac:dyDescent="0.25">
      <c r="A57" s="212" t="s">
        <v>980</v>
      </c>
      <c r="B57" s="91" t="s">
        <v>981</v>
      </c>
      <c r="C57" s="628">
        <f t="shared" si="0"/>
        <v>0</v>
      </c>
      <c r="D57" s="496" t="s">
        <v>982</v>
      </c>
      <c r="E57" s="597"/>
      <c r="F57" s="598"/>
      <c r="G57" s="598"/>
    </row>
    <row r="58" spans="1:7" x14ac:dyDescent="0.25">
      <c r="A58" s="212" t="s">
        <v>983</v>
      </c>
      <c r="B58" s="91" t="s">
        <v>902</v>
      </c>
      <c r="C58" s="628">
        <f t="shared" si="0"/>
        <v>0</v>
      </c>
      <c r="D58" s="496" t="s">
        <v>984</v>
      </c>
      <c r="E58" s="597"/>
      <c r="F58" s="598"/>
      <c r="G58" s="598"/>
    </row>
    <row r="59" spans="1:7" x14ac:dyDescent="0.25">
      <c r="A59" s="212" t="s">
        <v>985</v>
      </c>
      <c r="B59" s="91" t="s">
        <v>904</v>
      </c>
      <c r="C59" s="628">
        <f t="shared" si="0"/>
        <v>0</v>
      </c>
      <c r="D59" s="496" t="s">
        <v>986</v>
      </c>
      <c r="E59" s="597"/>
      <c r="F59" s="598"/>
      <c r="G59" s="598"/>
    </row>
    <row r="60" spans="1:7" x14ac:dyDescent="0.25">
      <c r="A60" s="212" t="s">
        <v>987</v>
      </c>
      <c r="B60" s="91" t="s">
        <v>906</v>
      </c>
      <c r="C60" s="628">
        <f t="shared" si="0"/>
        <v>0</v>
      </c>
      <c r="D60" s="496" t="s">
        <v>988</v>
      </c>
      <c r="E60" s="597"/>
      <c r="F60" s="598"/>
      <c r="G60" s="598"/>
    </row>
    <row r="61" spans="1:7" x14ac:dyDescent="0.25">
      <c r="A61" s="212" t="s">
        <v>989</v>
      </c>
      <c r="B61" s="91" t="s">
        <v>908</v>
      </c>
      <c r="C61" s="628">
        <f t="shared" si="0"/>
        <v>1147.9690115589733</v>
      </c>
      <c r="D61" s="496" t="s">
        <v>990</v>
      </c>
      <c r="E61" s="597"/>
      <c r="F61" s="598"/>
      <c r="G61" s="598"/>
    </row>
    <row r="62" spans="1:7" ht="25.5" x14ac:dyDescent="0.25">
      <c r="A62" s="212" t="s">
        <v>991</v>
      </c>
      <c r="B62" s="91" t="s">
        <v>910</v>
      </c>
      <c r="C62" s="628">
        <f t="shared" si="0"/>
        <v>0</v>
      </c>
      <c r="D62" s="496" t="s">
        <v>992</v>
      </c>
      <c r="E62" s="597"/>
      <c r="F62" s="598"/>
      <c r="G62" s="598"/>
    </row>
    <row r="63" spans="1:7" ht="25.5" x14ac:dyDescent="0.25">
      <c r="A63" s="212" t="s">
        <v>993</v>
      </c>
      <c r="B63" s="91" t="s">
        <v>912</v>
      </c>
      <c r="C63" s="628">
        <f t="shared" si="0"/>
        <v>0</v>
      </c>
      <c r="D63" s="496" t="s">
        <v>994</v>
      </c>
      <c r="E63" s="597"/>
      <c r="F63" s="598"/>
      <c r="G63" s="598"/>
    </row>
    <row r="64" spans="1:7" x14ac:dyDescent="0.25">
      <c r="A64" s="212" t="s">
        <v>995</v>
      </c>
      <c r="B64" s="91" t="s">
        <v>996</v>
      </c>
      <c r="C64" s="628">
        <f t="shared" si="0"/>
        <v>157.6242420984</v>
      </c>
      <c r="D64" s="496" t="s">
        <v>997</v>
      </c>
      <c r="E64" s="597"/>
      <c r="F64" s="598"/>
      <c r="G64" s="598"/>
    </row>
    <row r="65" spans="1:7" x14ac:dyDescent="0.25">
      <c r="A65" s="212" t="s">
        <v>998</v>
      </c>
      <c r="B65" s="91" t="s">
        <v>999</v>
      </c>
      <c r="C65" s="628">
        <f t="shared" si="0"/>
        <v>7.9837535750483832</v>
      </c>
      <c r="D65" s="496" t="s">
        <v>1000</v>
      </c>
      <c r="E65" s="597"/>
      <c r="F65" s="598"/>
      <c r="G65" s="598"/>
    </row>
    <row r="66" spans="1:7" x14ac:dyDescent="0.25">
      <c r="A66" s="212">
        <v>1</v>
      </c>
      <c r="B66" s="599" t="s">
        <v>1001</v>
      </c>
      <c r="C66" s="629">
        <f>SUM(C67:C77)</f>
        <v>698.19466427626719</v>
      </c>
      <c r="D66" s="496"/>
      <c r="E66" s="597"/>
      <c r="F66" s="598"/>
      <c r="G66" s="598"/>
    </row>
    <row r="67" spans="1:7" x14ac:dyDescent="0.25">
      <c r="A67" s="57" t="s">
        <v>285</v>
      </c>
      <c r="B67" s="91" t="s">
        <v>945</v>
      </c>
      <c r="C67" s="630">
        <v>0</v>
      </c>
      <c r="D67" s="94"/>
      <c r="E67" s="71"/>
      <c r="F67" s="124"/>
      <c r="G67" s="124"/>
    </row>
    <row r="68" spans="1:7" x14ac:dyDescent="0.25">
      <c r="A68" s="57" t="s">
        <v>295</v>
      </c>
      <c r="B68" s="91" t="s">
        <v>1002</v>
      </c>
      <c r="C68" s="630">
        <v>0</v>
      </c>
      <c r="D68" s="496"/>
      <c r="E68" s="631"/>
      <c r="F68" s="631"/>
      <c r="G68" s="631"/>
    </row>
    <row r="69" spans="1:7" x14ac:dyDescent="0.25">
      <c r="A69" s="57" t="s">
        <v>297</v>
      </c>
      <c r="B69" s="91" t="s">
        <v>1003</v>
      </c>
      <c r="C69" s="630">
        <v>0</v>
      </c>
      <c r="D69" s="496"/>
      <c r="E69" s="631"/>
      <c r="F69" s="631"/>
      <c r="G69" s="631"/>
    </row>
    <row r="70" spans="1:7" x14ac:dyDescent="0.25">
      <c r="A70" s="57" t="s">
        <v>16</v>
      </c>
      <c r="B70" s="91" t="s">
        <v>1004</v>
      </c>
      <c r="C70" s="630">
        <v>0</v>
      </c>
      <c r="D70" s="496"/>
      <c r="E70" s="631"/>
      <c r="F70" s="631"/>
      <c r="G70" s="631"/>
    </row>
    <row r="71" spans="1:7" x14ac:dyDescent="0.25">
      <c r="A71" s="57" t="s">
        <v>18</v>
      </c>
      <c r="B71" s="91" t="s">
        <v>1005</v>
      </c>
      <c r="C71" s="630">
        <v>0</v>
      </c>
      <c r="D71" s="496"/>
      <c r="E71" s="631"/>
      <c r="F71" s="631"/>
      <c r="G71" s="631"/>
    </row>
    <row r="72" spans="1:7" x14ac:dyDescent="0.25">
      <c r="A72" s="57" t="s">
        <v>20</v>
      </c>
      <c r="B72" s="91" t="s">
        <v>955</v>
      </c>
      <c r="C72" s="630">
        <v>0</v>
      </c>
      <c r="D72" s="496"/>
      <c r="E72" s="631"/>
      <c r="F72" s="631"/>
      <c r="G72" s="631"/>
    </row>
    <row r="73" spans="1:7" x14ac:dyDescent="0.25">
      <c r="A73" s="57" t="s">
        <v>747</v>
      </c>
      <c r="B73" s="91" t="s">
        <v>1006</v>
      </c>
      <c r="C73" s="630">
        <f>'[2]12'!D13</f>
        <v>617.6158068572189</v>
      </c>
      <c r="D73" s="496"/>
      <c r="E73" s="631"/>
      <c r="F73" s="631"/>
      <c r="G73" s="631"/>
    </row>
    <row r="74" spans="1:7" x14ac:dyDescent="0.25">
      <c r="A74" s="57" t="s">
        <v>756</v>
      </c>
      <c r="B74" s="91" t="s">
        <v>957</v>
      </c>
      <c r="C74" s="630">
        <v>0</v>
      </c>
      <c r="D74" s="496"/>
      <c r="E74" s="631"/>
      <c r="F74" s="631"/>
      <c r="G74" s="631"/>
    </row>
    <row r="75" spans="1:7" x14ac:dyDescent="0.25">
      <c r="A75" s="57" t="s">
        <v>770</v>
      </c>
      <c r="B75" s="91" t="s">
        <v>1007</v>
      </c>
      <c r="C75" s="630">
        <v>0</v>
      </c>
      <c r="D75" s="496"/>
      <c r="E75" s="631"/>
      <c r="F75" s="631"/>
      <c r="G75" s="631"/>
    </row>
    <row r="76" spans="1:7" x14ac:dyDescent="0.25">
      <c r="A76" s="57" t="s">
        <v>772</v>
      </c>
      <c r="B76" s="91" t="s">
        <v>1008</v>
      </c>
      <c r="C76" s="630">
        <f>'Forma 11'!VAS011_F_IlgalaikioTurtoNusidevejimoVISOSVANDENTVARKOSSANAUDOS</f>
        <v>72.595103843999993</v>
      </c>
      <c r="D76" s="496" t="s">
        <v>1009</v>
      </c>
      <c r="E76" s="631"/>
      <c r="F76" s="631"/>
      <c r="G76" s="631"/>
    </row>
    <row r="77" spans="1:7" x14ac:dyDescent="0.25">
      <c r="A77" s="57" t="s">
        <v>824</v>
      </c>
      <c r="B77" s="91" t="s">
        <v>1010</v>
      </c>
      <c r="C77" s="630">
        <f>'Forma 12'!VAS012_F_IlgalaikioTurtoNusidevejimoVISOSVANDENTVARKOSSANAUDOS</f>
        <v>7.9837535750483832</v>
      </c>
      <c r="D77" s="496" t="s">
        <v>1011</v>
      </c>
      <c r="E77" s="631"/>
      <c r="F77" s="631"/>
      <c r="G77" s="631"/>
    </row>
    <row r="78" spans="1:7" x14ac:dyDescent="0.25">
      <c r="A78" s="212">
        <v>2</v>
      </c>
      <c r="B78" s="599" t="s">
        <v>1012</v>
      </c>
      <c r="C78" s="629">
        <f>SUM(C79:C89)</f>
        <v>413.51557179349186</v>
      </c>
      <c r="D78" s="496"/>
      <c r="E78" s="597"/>
      <c r="F78" s="598"/>
      <c r="G78" s="598"/>
    </row>
    <row r="79" spans="1:7" x14ac:dyDescent="0.25">
      <c r="A79" s="57" t="s">
        <v>300</v>
      </c>
      <c r="B79" s="91" t="s">
        <v>945</v>
      </c>
      <c r="C79" s="630">
        <v>0</v>
      </c>
      <c r="D79" s="496"/>
      <c r="E79" s="631"/>
      <c r="F79" s="631"/>
      <c r="G79" s="631"/>
    </row>
    <row r="80" spans="1:7" x14ac:dyDescent="0.25">
      <c r="A80" s="57" t="s">
        <v>354</v>
      </c>
      <c r="B80" s="91" t="s">
        <v>1002</v>
      </c>
      <c r="C80" s="630">
        <v>0</v>
      </c>
      <c r="D80" s="496"/>
      <c r="E80" s="631"/>
      <c r="F80" s="631"/>
      <c r="G80" s="631"/>
    </row>
    <row r="81" spans="1:7" x14ac:dyDescent="0.25">
      <c r="A81" s="57" t="s">
        <v>356</v>
      </c>
      <c r="B81" s="91" t="s">
        <v>1003</v>
      </c>
      <c r="C81" s="630">
        <v>0</v>
      </c>
      <c r="D81" s="496"/>
      <c r="E81" s="631"/>
      <c r="F81" s="631"/>
      <c r="G81" s="631"/>
    </row>
    <row r="82" spans="1:7" x14ac:dyDescent="0.25">
      <c r="A82" s="57" t="s">
        <v>358</v>
      </c>
      <c r="B82" s="91" t="s">
        <v>1004</v>
      </c>
      <c r="C82" s="630">
        <v>0</v>
      </c>
      <c r="D82" s="496"/>
      <c r="E82" s="631"/>
      <c r="F82" s="631"/>
      <c r="G82" s="631"/>
    </row>
    <row r="83" spans="1:7" x14ac:dyDescent="0.25">
      <c r="A83" s="57" t="s">
        <v>360</v>
      </c>
      <c r="B83" s="91" t="s">
        <v>1005</v>
      </c>
      <c r="C83" s="630">
        <v>0</v>
      </c>
      <c r="D83" s="496"/>
      <c r="E83" s="631"/>
      <c r="F83" s="631"/>
      <c r="G83" s="631"/>
    </row>
    <row r="84" spans="1:7" x14ac:dyDescent="0.25">
      <c r="A84" s="57" t="s">
        <v>836</v>
      </c>
      <c r="B84" s="91" t="s">
        <v>955</v>
      </c>
      <c r="C84" s="630">
        <v>0</v>
      </c>
      <c r="D84" s="496"/>
      <c r="E84" s="631"/>
      <c r="F84" s="631"/>
      <c r="G84" s="631"/>
    </row>
    <row r="85" spans="1:7" x14ac:dyDescent="0.25">
      <c r="A85" s="57" t="s">
        <v>837</v>
      </c>
      <c r="B85" s="91" t="s">
        <v>1006</v>
      </c>
      <c r="C85" s="630">
        <f>'[2]12'!D14</f>
        <v>335.93843575438598</v>
      </c>
      <c r="D85" s="496"/>
      <c r="E85" s="631"/>
      <c r="F85" s="631"/>
      <c r="G85" s="631"/>
    </row>
    <row r="86" spans="1:7" x14ac:dyDescent="0.25">
      <c r="A86" s="57" t="s">
        <v>838</v>
      </c>
      <c r="B86" s="91" t="s">
        <v>957</v>
      </c>
      <c r="C86" s="630">
        <v>0</v>
      </c>
      <c r="D86" s="496"/>
      <c r="E86" s="631"/>
      <c r="F86" s="631"/>
      <c r="G86" s="631"/>
    </row>
    <row r="87" spans="1:7" x14ac:dyDescent="0.25">
      <c r="A87" s="57" t="s">
        <v>839</v>
      </c>
      <c r="B87" s="91" t="s">
        <v>1007</v>
      </c>
      <c r="C87" s="630">
        <v>0</v>
      </c>
      <c r="D87" s="496"/>
      <c r="E87" s="631"/>
      <c r="F87" s="631"/>
      <c r="G87" s="631"/>
    </row>
    <row r="88" spans="1:7" x14ac:dyDescent="0.25">
      <c r="A88" s="57" t="s">
        <v>840</v>
      </c>
      <c r="B88" s="91" t="s">
        <v>1008</v>
      </c>
      <c r="C88" s="630">
        <f>'Forma 11'!VAS011_F_EinamojoRemontomedziaguVISOSVANDENTVARKOSSANAUDOS</f>
        <v>77.577136039105881</v>
      </c>
      <c r="D88" s="496" t="s">
        <v>1013</v>
      </c>
      <c r="E88" s="631"/>
      <c r="F88" s="631"/>
      <c r="G88" s="631"/>
    </row>
    <row r="89" spans="1:7" x14ac:dyDescent="0.25">
      <c r="A89" s="57" t="s">
        <v>841</v>
      </c>
      <c r="B89" s="91" t="s">
        <v>1010</v>
      </c>
      <c r="C89" s="630">
        <f>'Forma 12'!VAS012_F_EinamojoRemontomedziaguVISOSVANDENTVARKOSSANAUDOS</f>
        <v>0</v>
      </c>
      <c r="D89" s="496" t="s">
        <v>1014</v>
      </c>
      <c r="E89" s="631"/>
      <c r="F89" s="631"/>
      <c r="G89" s="631"/>
    </row>
    <row r="90" spans="1:7" x14ac:dyDescent="0.25">
      <c r="A90" s="212">
        <v>3</v>
      </c>
      <c r="B90" s="599" t="s">
        <v>1015</v>
      </c>
      <c r="C90" s="629">
        <f>SUM(C91:C101)</f>
        <v>182.27058999999997</v>
      </c>
      <c r="D90" s="496"/>
      <c r="E90" s="597"/>
      <c r="F90" s="598"/>
      <c r="G90" s="598"/>
    </row>
    <row r="91" spans="1:7" x14ac:dyDescent="0.25">
      <c r="A91" s="57" t="s">
        <v>165</v>
      </c>
      <c r="B91" s="91" t="s">
        <v>945</v>
      </c>
      <c r="C91" s="630">
        <v>0</v>
      </c>
      <c r="D91" s="496"/>
      <c r="E91" s="631"/>
      <c r="F91" s="631"/>
      <c r="G91" s="631"/>
    </row>
    <row r="92" spans="1:7" x14ac:dyDescent="0.25">
      <c r="A92" s="57" t="s">
        <v>329</v>
      </c>
      <c r="B92" s="91" t="s">
        <v>1002</v>
      </c>
      <c r="C92" s="630">
        <v>0</v>
      </c>
      <c r="D92" s="496"/>
      <c r="E92" s="631"/>
      <c r="F92" s="631"/>
      <c r="G92" s="631"/>
    </row>
    <row r="93" spans="1:7" x14ac:dyDescent="0.25">
      <c r="A93" s="57" t="s">
        <v>331</v>
      </c>
      <c r="B93" s="91" t="s">
        <v>1003</v>
      </c>
      <c r="C93" s="630">
        <v>0</v>
      </c>
      <c r="D93" s="496"/>
      <c r="E93" s="631"/>
      <c r="F93" s="631"/>
      <c r="G93" s="631"/>
    </row>
    <row r="94" spans="1:7" x14ac:dyDescent="0.25">
      <c r="A94" s="57" t="s">
        <v>437</v>
      </c>
      <c r="B94" s="91" t="s">
        <v>1004</v>
      </c>
      <c r="C94" s="630">
        <v>0</v>
      </c>
      <c r="D94" s="496"/>
      <c r="E94" s="631"/>
      <c r="F94" s="631"/>
      <c r="G94" s="631"/>
    </row>
    <row r="95" spans="1:7" x14ac:dyDescent="0.25">
      <c r="A95" s="57" t="s">
        <v>1016</v>
      </c>
      <c r="B95" s="91" t="s">
        <v>1005</v>
      </c>
      <c r="C95" s="630">
        <v>0</v>
      </c>
      <c r="D95" s="496"/>
      <c r="E95" s="631"/>
      <c r="F95" s="631"/>
      <c r="G95" s="631"/>
    </row>
    <row r="96" spans="1:7" x14ac:dyDescent="0.25">
      <c r="A96" s="57" t="s">
        <v>1017</v>
      </c>
      <c r="B96" s="91" t="s">
        <v>955</v>
      </c>
      <c r="C96" s="630">
        <v>0</v>
      </c>
      <c r="D96" s="496"/>
      <c r="E96" s="631"/>
      <c r="F96" s="631"/>
      <c r="G96" s="631"/>
    </row>
    <row r="97" spans="1:7" x14ac:dyDescent="0.25">
      <c r="A97" s="57" t="s">
        <v>1018</v>
      </c>
      <c r="B97" s="91" t="s">
        <v>1006</v>
      </c>
      <c r="C97" s="630">
        <f>'[2]12'!D16</f>
        <v>182.27058999999997</v>
      </c>
      <c r="D97" s="496"/>
      <c r="E97" s="631"/>
      <c r="F97" s="631"/>
      <c r="G97" s="631"/>
    </row>
    <row r="98" spans="1:7" x14ac:dyDescent="0.25">
      <c r="A98" s="57" t="s">
        <v>1019</v>
      </c>
      <c r="B98" s="91" t="s">
        <v>957</v>
      </c>
      <c r="C98" s="630">
        <v>0</v>
      </c>
      <c r="D98" s="496"/>
      <c r="E98" s="631"/>
      <c r="F98" s="631"/>
      <c r="G98" s="631"/>
    </row>
    <row r="99" spans="1:7" x14ac:dyDescent="0.25">
      <c r="A99" s="57" t="s">
        <v>1020</v>
      </c>
      <c r="B99" s="91" t="s">
        <v>1007</v>
      </c>
      <c r="C99" s="630">
        <v>0</v>
      </c>
      <c r="D99" s="496"/>
      <c r="E99" s="631"/>
      <c r="F99" s="631"/>
      <c r="G99" s="631"/>
    </row>
    <row r="100" spans="1:7" x14ac:dyDescent="0.25">
      <c r="A100" s="57" t="s">
        <v>1021</v>
      </c>
      <c r="B100" s="91" t="s">
        <v>1008</v>
      </c>
      <c r="C100" s="630">
        <f>'Forma 11'!VAS011_F_RemontoDarbuPagalVISOSVANDENTVARKOSSANAUDOS</f>
        <v>0</v>
      </c>
      <c r="D100" s="496" t="s">
        <v>1022</v>
      </c>
      <c r="E100" s="631"/>
      <c r="F100" s="631"/>
      <c r="G100" s="631"/>
    </row>
    <row r="101" spans="1:7" x14ac:dyDescent="0.25">
      <c r="A101" s="57" t="s">
        <v>1023</v>
      </c>
      <c r="B101" s="91" t="s">
        <v>1010</v>
      </c>
      <c r="C101" s="630">
        <f>'Forma 11'!VAS011_F_RemontoDarbuPagalVISOSVANDENTVARKOSSANAUDOS</f>
        <v>0</v>
      </c>
      <c r="D101" s="496" t="s">
        <v>1024</v>
      </c>
      <c r="E101" s="631"/>
      <c r="F101" s="631"/>
      <c r="G101" s="631"/>
    </row>
    <row r="102" spans="1:7" x14ac:dyDescent="0.25">
      <c r="A102" s="212">
        <v>4</v>
      </c>
      <c r="B102" s="599" t="s">
        <v>1025</v>
      </c>
      <c r="C102" s="629">
        <f>SUM(C103:C113)</f>
        <v>19.596181162662539</v>
      </c>
      <c r="D102" s="496"/>
      <c r="E102" s="51"/>
      <c r="F102" s="51"/>
      <c r="G102" s="51"/>
    </row>
    <row r="103" spans="1:7" x14ac:dyDescent="0.25">
      <c r="A103" s="57" t="s">
        <v>171</v>
      </c>
      <c r="B103" s="91" t="s">
        <v>945</v>
      </c>
      <c r="C103" s="630">
        <v>0</v>
      </c>
      <c r="D103" s="496"/>
      <c r="E103" s="631"/>
      <c r="F103" s="631"/>
      <c r="G103" s="631"/>
    </row>
    <row r="104" spans="1:7" x14ac:dyDescent="0.25">
      <c r="A104" s="57" t="s">
        <v>178</v>
      </c>
      <c r="B104" s="91" t="s">
        <v>1002</v>
      </c>
      <c r="C104" s="630">
        <v>0</v>
      </c>
      <c r="D104" s="496"/>
      <c r="E104" s="631"/>
      <c r="F104" s="631"/>
      <c r="G104" s="631"/>
    </row>
    <row r="105" spans="1:7" x14ac:dyDescent="0.25">
      <c r="A105" s="57" t="s">
        <v>182</v>
      </c>
      <c r="B105" s="91" t="s">
        <v>1003</v>
      </c>
      <c r="C105" s="630">
        <v>0</v>
      </c>
      <c r="D105" s="496"/>
      <c r="E105" s="631"/>
      <c r="F105" s="631"/>
      <c r="G105" s="631"/>
    </row>
    <row r="106" spans="1:7" x14ac:dyDescent="0.25">
      <c r="A106" s="57" t="s">
        <v>402</v>
      </c>
      <c r="B106" s="91" t="s">
        <v>1004</v>
      </c>
      <c r="C106" s="630">
        <v>0</v>
      </c>
      <c r="D106" s="496"/>
      <c r="E106" s="631"/>
      <c r="F106" s="631"/>
      <c r="G106" s="631"/>
    </row>
    <row r="107" spans="1:7" x14ac:dyDescent="0.25">
      <c r="A107" s="57" t="s">
        <v>404</v>
      </c>
      <c r="B107" s="91" t="s">
        <v>1005</v>
      </c>
      <c r="C107" s="630">
        <v>0</v>
      </c>
      <c r="D107" s="496"/>
      <c r="E107" s="631"/>
      <c r="F107" s="631"/>
      <c r="G107" s="631"/>
    </row>
    <row r="108" spans="1:7" x14ac:dyDescent="0.25">
      <c r="A108" s="57" t="s">
        <v>1026</v>
      </c>
      <c r="B108" s="91" t="s">
        <v>955</v>
      </c>
      <c r="C108" s="630">
        <v>0</v>
      </c>
      <c r="D108" s="496"/>
      <c r="E108" s="631"/>
      <c r="F108" s="631"/>
      <c r="G108" s="631"/>
    </row>
    <row r="109" spans="1:7" x14ac:dyDescent="0.25">
      <c r="A109" s="57" t="s">
        <v>1027</v>
      </c>
      <c r="B109" s="91" t="s">
        <v>1006</v>
      </c>
      <c r="C109" s="630">
        <f>'[2]12'!D18</f>
        <v>12.144178947368422</v>
      </c>
      <c r="D109" s="496"/>
      <c r="E109" s="631"/>
      <c r="F109" s="631"/>
      <c r="G109" s="631"/>
    </row>
    <row r="110" spans="1:7" x14ac:dyDescent="0.25">
      <c r="A110" s="57" t="s">
        <v>1028</v>
      </c>
      <c r="B110" s="91" t="s">
        <v>957</v>
      </c>
      <c r="C110" s="630">
        <v>0</v>
      </c>
      <c r="D110" s="496"/>
      <c r="E110" s="631"/>
      <c r="F110" s="631"/>
      <c r="G110" s="631"/>
    </row>
    <row r="111" spans="1:7" x14ac:dyDescent="0.25">
      <c r="A111" s="77" t="s">
        <v>1029</v>
      </c>
      <c r="B111" s="91" t="s">
        <v>1007</v>
      </c>
      <c r="C111" s="630">
        <v>0</v>
      </c>
      <c r="D111" s="496"/>
      <c r="E111" s="631"/>
      <c r="F111" s="631"/>
      <c r="G111" s="631"/>
    </row>
    <row r="112" spans="1:7" x14ac:dyDescent="0.25">
      <c r="A112" s="57" t="s">
        <v>1030</v>
      </c>
      <c r="B112" s="91" t="s">
        <v>1008</v>
      </c>
      <c r="C112" s="630">
        <f>'Forma 11'!VAS011_F_TurtuNuomosSanaudosVISOSVANDENTVARKOSSANAUDOS</f>
        <v>7.4520022152941179</v>
      </c>
      <c r="D112" s="496" t="s">
        <v>1031</v>
      </c>
      <c r="E112" s="631"/>
      <c r="F112" s="631"/>
      <c r="G112" s="631"/>
    </row>
    <row r="113" spans="1:7" ht="15.75" thickBot="1" x14ac:dyDescent="0.3">
      <c r="A113" s="104" t="s">
        <v>1032</v>
      </c>
      <c r="B113" s="91" t="s">
        <v>1010</v>
      </c>
      <c r="C113" s="632">
        <f>'Forma 12'!VAS012_F_TurtoNuomosSanaudosVISOSVANDENTVARKOSSANAUDOS</f>
        <v>0</v>
      </c>
      <c r="D113" s="500" t="s">
        <v>1033</v>
      </c>
      <c r="E113" s="631"/>
      <c r="F113" s="631"/>
      <c r="G113" s="631"/>
    </row>
    <row r="114" spans="1:7" x14ac:dyDescent="0.25">
      <c r="A114" s="243" t="s">
        <v>496</v>
      </c>
      <c r="B114" s="273" t="s">
        <v>1034</v>
      </c>
      <c r="C114" s="245">
        <f>SUM(C115:C125)</f>
        <v>1391.4138563283402</v>
      </c>
      <c r="D114" s="611"/>
      <c r="E114" s="597"/>
      <c r="F114" s="598"/>
      <c r="G114" s="598"/>
    </row>
    <row r="115" spans="1:7" x14ac:dyDescent="0.25">
      <c r="A115" s="212" t="s">
        <v>1035</v>
      </c>
      <c r="B115" s="91" t="s">
        <v>896</v>
      </c>
      <c r="C115" s="628">
        <f t="shared" ref="C115:C125" si="1">SUM(C127,C139,C151,C163,C175)</f>
        <v>0</v>
      </c>
      <c r="D115" s="496" t="s">
        <v>1036</v>
      </c>
      <c r="E115" s="597"/>
      <c r="F115" s="598"/>
      <c r="G115" s="598"/>
    </row>
    <row r="116" spans="1:7" x14ac:dyDescent="0.25">
      <c r="A116" s="212" t="s">
        <v>1037</v>
      </c>
      <c r="B116" s="91" t="s">
        <v>898</v>
      </c>
      <c r="C116" s="628">
        <f t="shared" si="1"/>
        <v>0</v>
      </c>
      <c r="D116" s="496" t="s">
        <v>1038</v>
      </c>
      <c r="E116" s="597"/>
      <c r="F116" s="598"/>
      <c r="G116" s="598"/>
    </row>
    <row r="117" spans="1:7" x14ac:dyDescent="0.25">
      <c r="A117" s="212" t="s">
        <v>1039</v>
      </c>
      <c r="B117" s="91" t="s">
        <v>981</v>
      </c>
      <c r="C117" s="628">
        <f t="shared" si="1"/>
        <v>0</v>
      </c>
      <c r="D117" s="496" t="s">
        <v>1040</v>
      </c>
      <c r="E117" s="597"/>
      <c r="F117" s="598"/>
      <c r="G117" s="598"/>
    </row>
    <row r="118" spans="1:7" x14ac:dyDescent="0.25">
      <c r="A118" s="212" t="s">
        <v>1041</v>
      </c>
      <c r="B118" s="91" t="s">
        <v>902</v>
      </c>
      <c r="C118" s="628">
        <f t="shared" si="1"/>
        <v>0</v>
      </c>
      <c r="D118" s="496" t="s">
        <v>1042</v>
      </c>
      <c r="E118" s="597"/>
      <c r="F118" s="598"/>
      <c r="G118" s="598"/>
    </row>
    <row r="119" spans="1:7" x14ac:dyDescent="0.25">
      <c r="A119" s="212" t="s">
        <v>1043</v>
      </c>
      <c r="B119" s="91" t="s">
        <v>904</v>
      </c>
      <c r="C119" s="628">
        <f t="shared" si="1"/>
        <v>0</v>
      </c>
      <c r="D119" s="496" t="s">
        <v>1044</v>
      </c>
      <c r="E119" s="597"/>
      <c r="F119" s="598"/>
      <c r="G119" s="598"/>
    </row>
    <row r="120" spans="1:7" x14ac:dyDescent="0.25">
      <c r="A120" s="212" t="s">
        <v>1045</v>
      </c>
      <c r="B120" s="91" t="s">
        <v>906</v>
      </c>
      <c r="C120" s="628">
        <f t="shared" si="1"/>
        <v>0</v>
      </c>
      <c r="D120" s="496" t="s">
        <v>1046</v>
      </c>
      <c r="E120" s="597"/>
      <c r="F120" s="598"/>
      <c r="G120" s="598"/>
    </row>
    <row r="121" spans="1:7" x14ac:dyDescent="0.25">
      <c r="A121" s="212" t="s">
        <v>1047</v>
      </c>
      <c r="B121" s="91" t="s">
        <v>908</v>
      </c>
      <c r="C121" s="628">
        <f t="shared" si="1"/>
        <v>993.66382399999998</v>
      </c>
      <c r="D121" s="496" t="s">
        <v>1048</v>
      </c>
      <c r="E121" s="597"/>
      <c r="F121" s="598"/>
      <c r="G121" s="598"/>
    </row>
    <row r="122" spans="1:7" ht="25.5" x14ac:dyDescent="0.25">
      <c r="A122" s="212" t="s">
        <v>1049</v>
      </c>
      <c r="B122" s="91" t="s">
        <v>910</v>
      </c>
      <c r="C122" s="628">
        <f t="shared" si="1"/>
        <v>0</v>
      </c>
      <c r="D122" s="496" t="s">
        <v>1050</v>
      </c>
      <c r="E122" s="597"/>
      <c r="F122" s="598"/>
      <c r="G122" s="598"/>
    </row>
    <row r="123" spans="1:7" ht="25.5" x14ac:dyDescent="0.25">
      <c r="A123" s="212" t="s">
        <v>1051</v>
      </c>
      <c r="B123" s="91" t="s">
        <v>912</v>
      </c>
      <c r="C123" s="628">
        <f t="shared" si="1"/>
        <v>0</v>
      </c>
      <c r="D123" s="496" t="s">
        <v>1052</v>
      </c>
      <c r="E123" s="597"/>
      <c r="F123" s="598"/>
      <c r="G123" s="598"/>
    </row>
    <row r="124" spans="1:7" x14ac:dyDescent="0.25">
      <c r="A124" s="212" t="s">
        <v>1053</v>
      </c>
      <c r="B124" s="91" t="s">
        <v>996</v>
      </c>
      <c r="C124" s="628">
        <f t="shared" si="1"/>
        <v>316.40003685804004</v>
      </c>
      <c r="D124" s="496" t="s">
        <v>1054</v>
      </c>
      <c r="E124" s="597"/>
      <c r="F124" s="598"/>
      <c r="G124" s="598"/>
    </row>
    <row r="125" spans="1:7" x14ac:dyDescent="0.25">
      <c r="A125" s="212" t="s">
        <v>1055</v>
      </c>
      <c r="B125" s="91" t="s">
        <v>999</v>
      </c>
      <c r="C125" s="628">
        <f t="shared" si="1"/>
        <v>81.349995470300215</v>
      </c>
      <c r="D125" s="496" t="s">
        <v>1056</v>
      </c>
      <c r="E125" s="597"/>
      <c r="F125" s="598"/>
      <c r="G125" s="598"/>
    </row>
    <row r="126" spans="1:7" x14ac:dyDescent="0.25">
      <c r="A126" s="212">
        <v>1</v>
      </c>
      <c r="B126" s="599" t="s">
        <v>1057</v>
      </c>
      <c r="C126" s="213">
        <f>SUM(C127:C137)</f>
        <v>1072.7503336529924</v>
      </c>
      <c r="D126" s="496"/>
      <c r="E126" s="597"/>
      <c r="F126" s="598"/>
      <c r="G126" s="598"/>
    </row>
    <row r="127" spans="1:7" x14ac:dyDescent="0.25">
      <c r="A127" s="57" t="s">
        <v>285</v>
      </c>
      <c r="B127" s="91" t="s">
        <v>945</v>
      </c>
      <c r="C127" s="633">
        <v>0</v>
      </c>
      <c r="D127" s="496"/>
      <c r="E127" s="631"/>
      <c r="F127" s="631"/>
      <c r="G127" s="631"/>
    </row>
    <row r="128" spans="1:7" x14ac:dyDescent="0.25">
      <c r="A128" s="57" t="s">
        <v>295</v>
      </c>
      <c r="B128" s="91" t="s">
        <v>1002</v>
      </c>
      <c r="C128" s="633">
        <v>0</v>
      </c>
      <c r="D128" s="496"/>
      <c r="E128" s="631"/>
      <c r="F128" s="631"/>
      <c r="G128" s="631"/>
    </row>
    <row r="129" spans="1:7" x14ac:dyDescent="0.25">
      <c r="A129" s="57" t="s">
        <v>297</v>
      </c>
      <c r="B129" s="91" t="s">
        <v>1003</v>
      </c>
      <c r="C129" s="633">
        <v>0</v>
      </c>
      <c r="D129" s="496"/>
      <c r="E129" s="631"/>
      <c r="F129" s="631"/>
      <c r="G129" s="631"/>
    </row>
    <row r="130" spans="1:7" x14ac:dyDescent="0.25">
      <c r="A130" s="57" t="s">
        <v>16</v>
      </c>
      <c r="B130" s="91" t="s">
        <v>1004</v>
      </c>
      <c r="C130" s="633">
        <v>0</v>
      </c>
      <c r="D130" s="496"/>
      <c r="E130" s="631"/>
      <c r="F130" s="631"/>
      <c r="G130" s="631"/>
    </row>
    <row r="131" spans="1:7" x14ac:dyDescent="0.25">
      <c r="A131" s="57" t="s">
        <v>18</v>
      </c>
      <c r="B131" s="91" t="s">
        <v>1005</v>
      </c>
      <c r="C131" s="633">
        <v>0</v>
      </c>
      <c r="D131" s="496"/>
      <c r="E131" s="631"/>
      <c r="F131" s="631"/>
      <c r="G131" s="631"/>
    </row>
    <row r="132" spans="1:7" x14ac:dyDescent="0.25">
      <c r="A132" s="57" t="s">
        <v>20</v>
      </c>
      <c r="B132" s="91" t="s">
        <v>955</v>
      </c>
      <c r="C132" s="633">
        <v>0</v>
      </c>
      <c r="D132" s="496"/>
      <c r="E132" s="631"/>
      <c r="F132" s="631"/>
      <c r="G132" s="631"/>
    </row>
    <row r="133" spans="1:7" x14ac:dyDescent="0.25">
      <c r="A133" s="57" t="s">
        <v>747</v>
      </c>
      <c r="B133" s="91" t="s">
        <v>1006</v>
      </c>
      <c r="C133" s="633">
        <f>'[2]12'!D27</f>
        <v>754.33005000000003</v>
      </c>
      <c r="D133" s="496"/>
      <c r="E133" s="631"/>
      <c r="F133" s="631"/>
      <c r="G133" s="631"/>
    </row>
    <row r="134" spans="1:7" x14ac:dyDescent="0.25">
      <c r="A134" s="57" t="s">
        <v>756</v>
      </c>
      <c r="B134" s="91" t="s">
        <v>957</v>
      </c>
      <c r="C134" s="633">
        <v>0</v>
      </c>
      <c r="D134" s="496"/>
      <c r="E134" s="631"/>
      <c r="F134" s="631"/>
      <c r="G134" s="631"/>
    </row>
    <row r="135" spans="1:7" x14ac:dyDescent="0.25">
      <c r="A135" s="57" t="s">
        <v>770</v>
      </c>
      <c r="B135" s="91" t="s">
        <v>1007</v>
      </c>
      <c r="C135" s="633">
        <v>0</v>
      </c>
      <c r="D135" s="496"/>
      <c r="E135" s="631"/>
      <c r="F135" s="631"/>
      <c r="G135" s="631"/>
    </row>
    <row r="136" spans="1:7" x14ac:dyDescent="0.25">
      <c r="A136" s="57" t="s">
        <v>772</v>
      </c>
      <c r="B136" s="91" t="s">
        <v>1008</v>
      </c>
      <c r="C136" s="633">
        <f>'Forma 11'!VAS011_F_DarboUzmokescioSanaudosVISOSVANDENTVARKOSSANAUDOS</f>
        <v>258.97154299880003</v>
      </c>
      <c r="D136" s="496" t="s">
        <v>1058</v>
      </c>
      <c r="E136" s="631"/>
      <c r="F136" s="631"/>
      <c r="G136" s="631"/>
    </row>
    <row r="137" spans="1:7" x14ac:dyDescent="0.25">
      <c r="A137" s="57" t="s">
        <v>824</v>
      </c>
      <c r="B137" s="91" t="s">
        <v>1010</v>
      </c>
      <c r="C137" s="633">
        <f>'Forma 12'!VAS012_F_DarboUzmokescioSanaudosVISOSVANDENTVARKOSSANAUDOS</f>
        <v>59.448740654192299</v>
      </c>
      <c r="D137" s="496" t="s">
        <v>1059</v>
      </c>
      <c r="E137" s="631"/>
      <c r="F137" s="631"/>
      <c r="G137" s="631"/>
    </row>
    <row r="138" spans="1:7" x14ac:dyDescent="0.25">
      <c r="A138" s="212">
        <v>2</v>
      </c>
      <c r="B138" s="599" t="s">
        <v>1060</v>
      </c>
      <c r="C138" s="213">
        <f>SUM(C139:C149)</f>
        <v>302.30291589934905</v>
      </c>
      <c r="D138" s="496"/>
      <c r="E138" s="597"/>
      <c r="F138" s="598"/>
      <c r="G138" s="598"/>
    </row>
    <row r="139" spans="1:7" x14ac:dyDescent="0.25">
      <c r="A139" s="57" t="s">
        <v>300</v>
      </c>
      <c r="B139" s="91" t="s">
        <v>945</v>
      </c>
      <c r="C139" s="633">
        <v>0</v>
      </c>
      <c r="D139" s="496"/>
      <c r="E139" s="631"/>
      <c r="F139" s="631"/>
      <c r="G139" s="631"/>
    </row>
    <row r="140" spans="1:7" x14ac:dyDescent="0.25">
      <c r="A140" s="57" t="s">
        <v>354</v>
      </c>
      <c r="B140" s="91" t="s">
        <v>1002</v>
      </c>
      <c r="C140" s="633">
        <v>0</v>
      </c>
      <c r="D140" s="496"/>
      <c r="E140" s="631"/>
      <c r="F140" s="631"/>
      <c r="G140" s="631"/>
    </row>
    <row r="141" spans="1:7" x14ac:dyDescent="0.25">
      <c r="A141" s="57" t="s">
        <v>356</v>
      </c>
      <c r="B141" s="91" t="s">
        <v>1003</v>
      </c>
      <c r="C141" s="633">
        <v>0</v>
      </c>
      <c r="D141" s="496"/>
      <c r="E141" s="631"/>
      <c r="F141" s="631"/>
      <c r="G141" s="631"/>
    </row>
    <row r="142" spans="1:7" x14ac:dyDescent="0.25">
      <c r="A142" s="57" t="s">
        <v>358</v>
      </c>
      <c r="B142" s="91" t="s">
        <v>1004</v>
      </c>
      <c r="C142" s="633">
        <v>0</v>
      </c>
      <c r="D142" s="496"/>
      <c r="E142" s="631"/>
      <c r="F142" s="631"/>
      <c r="G142" s="631"/>
    </row>
    <row r="143" spans="1:7" x14ac:dyDescent="0.25">
      <c r="A143" s="57" t="s">
        <v>360</v>
      </c>
      <c r="B143" s="91" t="s">
        <v>1005</v>
      </c>
      <c r="C143" s="633">
        <v>0</v>
      </c>
      <c r="D143" s="496"/>
      <c r="E143" s="631"/>
      <c r="F143" s="631"/>
      <c r="G143" s="631"/>
    </row>
    <row r="144" spans="1:7" x14ac:dyDescent="0.25">
      <c r="A144" s="57" t="s">
        <v>836</v>
      </c>
      <c r="B144" s="91" t="s">
        <v>955</v>
      </c>
      <c r="C144" s="633">
        <v>0</v>
      </c>
      <c r="D144" s="496"/>
      <c r="E144" s="631"/>
      <c r="F144" s="631"/>
      <c r="G144" s="631"/>
    </row>
    <row r="145" spans="1:7" x14ac:dyDescent="0.25">
      <c r="A145" s="57" t="s">
        <v>837</v>
      </c>
      <c r="B145" s="91" t="s">
        <v>1006</v>
      </c>
      <c r="C145" s="633">
        <f>'[2]12'!D28</f>
        <v>231.84958989999998</v>
      </c>
      <c r="D145" s="496"/>
      <c r="E145" s="631"/>
      <c r="F145" s="631"/>
      <c r="G145" s="631"/>
    </row>
    <row r="146" spans="1:7" x14ac:dyDescent="0.25">
      <c r="A146" s="57" t="s">
        <v>838</v>
      </c>
      <c r="B146" s="91" t="s">
        <v>957</v>
      </c>
      <c r="C146" s="633">
        <v>0</v>
      </c>
      <c r="D146" s="496"/>
      <c r="E146" s="631"/>
      <c r="F146" s="631"/>
      <c r="G146" s="631"/>
    </row>
    <row r="147" spans="1:7" x14ac:dyDescent="0.25">
      <c r="A147" s="57" t="s">
        <v>839</v>
      </c>
      <c r="B147" s="91" t="s">
        <v>1007</v>
      </c>
      <c r="C147" s="633">
        <v>0</v>
      </c>
      <c r="D147" s="496"/>
      <c r="E147" s="631"/>
      <c r="F147" s="631"/>
      <c r="G147" s="631"/>
    </row>
    <row r="148" spans="1:7" x14ac:dyDescent="0.25">
      <c r="A148" s="57" t="s">
        <v>840</v>
      </c>
      <c r="B148" s="91" t="s">
        <v>1008</v>
      </c>
      <c r="C148" s="633">
        <f>'Forma 11'!VAS011_F_AtskaitymaiSocialiniamDraudimuiVISOSVANDENTVARKOSSANAUDOS</f>
        <v>52.140594026402411</v>
      </c>
      <c r="D148" s="496" t="s">
        <v>1061</v>
      </c>
      <c r="E148" s="631"/>
      <c r="F148" s="631"/>
      <c r="G148" s="631"/>
    </row>
    <row r="149" spans="1:7" x14ac:dyDescent="0.25">
      <c r="A149" s="57" t="s">
        <v>841</v>
      </c>
      <c r="B149" s="91" t="s">
        <v>1010</v>
      </c>
      <c r="C149" s="633">
        <f>'Forma 12'!VAS012_F_AtskaitymaiSocialiniamDraudimuiVISOSVANDENTVARKOSSANAUDOS</f>
        <v>18.312731972946636</v>
      </c>
      <c r="D149" s="496" t="s">
        <v>1062</v>
      </c>
      <c r="E149" s="631"/>
      <c r="F149" s="631"/>
      <c r="G149" s="631"/>
    </row>
    <row r="150" spans="1:7" x14ac:dyDescent="0.25">
      <c r="A150" s="212">
        <v>3</v>
      </c>
      <c r="B150" s="599" t="s">
        <v>1063</v>
      </c>
      <c r="C150" s="213">
        <f>SUM(C151:C161)</f>
        <v>2.1455006673059844</v>
      </c>
      <c r="D150" s="496"/>
      <c r="E150" s="631"/>
      <c r="F150" s="631"/>
      <c r="G150" s="631"/>
    </row>
    <row r="151" spans="1:7" x14ac:dyDescent="0.25">
      <c r="A151" s="57" t="s">
        <v>165</v>
      </c>
      <c r="B151" s="91" t="s">
        <v>945</v>
      </c>
      <c r="C151" s="633">
        <v>0</v>
      </c>
      <c r="D151" s="496"/>
      <c r="E151" s="631"/>
      <c r="F151" s="631"/>
      <c r="G151" s="631"/>
    </row>
    <row r="152" spans="1:7" x14ac:dyDescent="0.25">
      <c r="A152" s="57" t="s">
        <v>329</v>
      </c>
      <c r="B152" s="91" t="s">
        <v>1002</v>
      </c>
      <c r="C152" s="633">
        <v>0</v>
      </c>
      <c r="D152" s="496"/>
      <c r="E152" s="631"/>
      <c r="F152" s="631"/>
      <c r="G152" s="631"/>
    </row>
    <row r="153" spans="1:7" x14ac:dyDescent="0.25">
      <c r="A153" s="57" t="s">
        <v>331</v>
      </c>
      <c r="B153" s="91" t="s">
        <v>1003</v>
      </c>
      <c r="C153" s="633">
        <v>0</v>
      </c>
      <c r="D153" s="496"/>
      <c r="E153" s="631"/>
      <c r="F153" s="631"/>
      <c r="G153" s="631"/>
    </row>
    <row r="154" spans="1:7" x14ac:dyDescent="0.25">
      <c r="A154" s="57" t="s">
        <v>437</v>
      </c>
      <c r="B154" s="91" t="s">
        <v>1004</v>
      </c>
      <c r="C154" s="633">
        <v>0</v>
      </c>
      <c r="D154" s="496"/>
      <c r="E154" s="631"/>
      <c r="F154" s="631"/>
      <c r="G154" s="631"/>
    </row>
    <row r="155" spans="1:7" x14ac:dyDescent="0.25">
      <c r="A155" s="57" t="s">
        <v>1016</v>
      </c>
      <c r="B155" s="91" t="s">
        <v>1005</v>
      </c>
      <c r="C155" s="633">
        <v>0</v>
      </c>
      <c r="D155" s="496"/>
      <c r="E155" s="631"/>
      <c r="F155" s="631"/>
      <c r="G155" s="631"/>
    </row>
    <row r="156" spans="1:7" x14ac:dyDescent="0.25">
      <c r="A156" s="57" t="s">
        <v>1017</v>
      </c>
      <c r="B156" s="91" t="s">
        <v>955</v>
      </c>
      <c r="C156" s="633">
        <v>0</v>
      </c>
      <c r="D156" s="496"/>
      <c r="E156" s="631"/>
      <c r="F156" s="631"/>
      <c r="G156" s="631"/>
    </row>
    <row r="157" spans="1:7" x14ac:dyDescent="0.25">
      <c r="A157" s="57" t="s">
        <v>1018</v>
      </c>
      <c r="B157" s="91" t="s">
        <v>1006</v>
      </c>
      <c r="C157" s="633">
        <f>'[2]12'!D29</f>
        <v>1.5086600999999997</v>
      </c>
      <c r="D157" s="496"/>
      <c r="E157" s="631"/>
      <c r="F157" s="631"/>
      <c r="G157" s="631"/>
    </row>
    <row r="158" spans="1:7" ht="27.75" customHeight="1" x14ac:dyDescent="0.25">
      <c r="A158" s="57" t="s">
        <v>1019</v>
      </c>
      <c r="B158" s="91" t="s">
        <v>957</v>
      </c>
      <c r="C158" s="633">
        <v>0</v>
      </c>
      <c r="D158" s="496"/>
      <c r="E158" s="631"/>
      <c r="F158" s="631"/>
      <c r="G158" s="631"/>
    </row>
    <row r="159" spans="1:7" x14ac:dyDescent="0.25">
      <c r="A159" s="57" t="s">
        <v>1020</v>
      </c>
      <c r="B159" s="91" t="s">
        <v>1007</v>
      </c>
      <c r="C159" s="633">
        <v>0</v>
      </c>
      <c r="D159" s="496"/>
      <c r="E159" s="631"/>
      <c r="F159" s="631"/>
      <c r="G159" s="631"/>
    </row>
    <row r="160" spans="1:7" x14ac:dyDescent="0.25">
      <c r="A160" s="57" t="s">
        <v>1021</v>
      </c>
      <c r="B160" s="91" t="s">
        <v>1008</v>
      </c>
      <c r="C160" s="633">
        <f>'Forma 11'!VAS011_F_ImokuIGarantiniVISOSVANDENTVARKOSSANAUDOS</f>
        <v>0.51794308599760008</v>
      </c>
      <c r="D160" s="496" t="s">
        <v>1064</v>
      </c>
      <c r="E160" s="631"/>
      <c r="F160" s="631"/>
      <c r="G160" s="631"/>
    </row>
    <row r="161" spans="1:7" x14ac:dyDescent="0.25">
      <c r="A161" s="57" t="s">
        <v>1023</v>
      </c>
      <c r="B161" s="91" t="s">
        <v>1010</v>
      </c>
      <c r="C161" s="633">
        <f>'Forma 12'!VAS012_F_ImokuIGarantiniVISOSVANDENTVARKOSSANAUDOS</f>
        <v>0.11889748130838457</v>
      </c>
      <c r="D161" s="496" t="s">
        <v>1065</v>
      </c>
      <c r="E161" s="631"/>
      <c r="F161" s="631"/>
      <c r="G161" s="631"/>
    </row>
    <row r="162" spans="1:7" x14ac:dyDescent="0.25">
      <c r="A162" s="212">
        <v>4</v>
      </c>
      <c r="B162" s="599" t="s">
        <v>1066</v>
      </c>
      <c r="C162" s="213">
        <f>SUM(C163:C173)</f>
        <v>6.9758269485250626</v>
      </c>
      <c r="D162" s="496"/>
      <c r="E162" s="597"/>
      <c r="F162" s="598"/>
      <c r="G162" s="598"/>
    </row>
    <row r="163" spans="1:7" x14ac:dyDescent="0.25">
      <c r="A163" s="57" t="s">
        <v>171</v>
      </c>
      <c r="B163" s="91" t="s">
        <v>945</v>
      </c>
      <c r="C163" s="633">
        <v>0</v>
      </c>
      <c r="D163" s="496"/>
      <c r="E163" s="631"/>
      <c r="F163" s="631"/>
      <c r="G163" s="631"/>
    </row>
    <row r="164" spans="1:7" x14ac:dyDescent="0.25">
      <c r="A164" s="57" t="s">
        <v>178</v>
      </c>
      <c r="B164" s="91" t="s">
        <v>1002</v>
      </c>
      <c r="C164" s="633">
        <v>0</v>
      </c>
      <c r="D164" s="496"/>
      <c r="E164" s="631"/>
      <c r="F164" s="631"/>
      <c r="G164" s="631"/>
    </row>
    <row r="165" spans="1:7" x14ac:dyDescent="0.25">
      <c r="A165" s="57" t="s">
        <v>182</v>
      </c>
      <c r="B165" s="91" t="s">
        <v>1003</v>
      </c>
      <c r="C165" s="633">
        <v>0</v>
      </c>
      <c r="D165" s="496"/>
      <c r="E165" s="631"/>
      <c r="F165" s="631"/>
      <c r="G165" s="631"/>
    </row>
    <row r="166" spans="1:7" x14ac:dyDescent="0.25">
      <c r="A166" s="57" t="s">
        <v>402</v>
      </c>
      <c r="B166" s="91" t="s">
        <v>1004</v>
      </c>
      <c r="C166" s="633">
        <v>0</v>
      </c>
      <c r="D166" s="496"/>
      <c r="E166" s="631"/>
      <c r="F166" s="631"/>
      <c r="G166" s="631"/>
    </row>
    <row r="167" spans="1:7" x14ac:dyDescent="0.25">
      <c r="A167" s="57" t="s">
        <v>404</v>
      </c>
      <c r="B167" s="91" t="s">
        <v>1005</v>
      </c>
      <c r="C167" s="633">
        <v>0</v>
      </c>
      <c r="D167" s="496"/>
      <c r="E167" s="631"/>
      <c r="F167" s="631"/>
      <c r="G167" s="631"/>
    </row>
    <row r="168" spans="1:7" x14ac:dyDescent="0.25">
      <c r="A168" s="57" t="s">
        <v>1026</v>
      </c>
      <c r="B168" s="91" t="s">
        <v>955</v>
      </c>
      <c r="C168" s="633">
        <v>0</v>
      </c>
      <c r="D168" s="496"/>
      <c r="E168" s="631"/>
      <c r="F168" s="631"/>
      <c r="G168" s="631"/>
    </row>
    <row r="169" spans="1:7" x14ac:dyDescent="0.25">
      <c r="A169" s="57" t="s">
        <v>1027</v>
      </c>
      <c r="B169" s="91" t="s">
        <v>1006</v>
      </c>
      <c r="C169" s="633">
        <f>'[2]12'!D30</f>
        <v>4.5491239999999999</v>
      </c>
      <c r="D169" s="496"/>
      <c r="E169" s="631"/>
      <c r="F169" s="631"/>
      <c r="G169" s="631"/>
    </row>
    <row r="170" spans="1:7" x14ac:dyDescent="0.25">
      <c r="A170" s="57" t="s">
        <v>1028</v>
      </c>
      <c r="B170" s="91" t="s">
        <v>957</v>
      </c>
      <c r="C170" s="633">
        <v>0</v>
      </c>
      <c r="D170" s="496"/>
      <c r="E170" s="631"/>
      <c r="F170" s="631"/>
      <c r="G170" s="631"/>
    </row>
    <row r="171" spans="1:7" x14ac:dyDescent="0.25">
      <c r="A171" s="57" t="s">
        <v>1029</v>
      </c>
      <c r="B171" s="91" t="s">
        <v>1007</v>
      </c>
      <c r="C171" s="633">
        <v>0</v>
      </c>
      <c r="D171" s="496"/>
      <c r="E171" s="631"/>
      <c r="F171" s="631"/>
      <c r="G171" s="631"/>
    </row>
    <row r="172" spans="1:7" x14ac:dyDescent="0.25">
      <c r="A172" s="57" t="s">
        <v>1030</v>
      </c>
      <c r="B172" s="91" t="s">
        <v>1008</v>
      </c>
      <c r="C172" s="633">
        <f>'Forma 11'!VAS011_F_SilumosEnergijosSanaudosVISOSVANDENTVARKOSSANAUDOS</f>
        <v>2.0867286700400003</v>
      </c>
      <c r="D172" s="496" t="s">
        <v>1067</v>
      </c>
      <c r="E172" s="631"/>
      <c r="F172" s="631"/>
      <c r="G172" s="631"/>
    </row>
    <row r="173" spans="1:7" x14ac:dyDescent="0.25">
      <c r="A173" s="57" t="s">
        <v>1032</v>
      </c>
      <c r="B173" s="91" t="s">
        <v>1010</v>
      </c>
      <c r="C173" s="633">
        <f>'Forma 12'!VAS012_F_SilumosEnergijosSanaudosVISOSVANDENTVARKOSSANAUDOS</f>
        <v>0.3399742784850619</v>
      </c>
      <c r="D173" s="496" t="s">
        <v>1068</v>
      </c>
      <c r="E173" s="631"/>
      <c r="F173" s="631"/>
      <c r="G173" s="631"/>
    </row>
    <row r="174" spans="1:7" x14ac:dyDescent="0.25">
      <c r="A174" s="212">
        <v>5</v>
      </c>
      <c r="B174" s="599" t="s">
        <v>1069</v>
      </c>
      <c r="C174" s="213">
        <f>SUM(C175:C185)</f>
        <v>7.2392791601678379</v>
      </c>
      <c r="D174" s="496"/>
      <c r="E174" s="597"/>
      <c r="F174" s="598"/>
      <c r="G174" s="598"/>
    </row>
    <row r="175" spans="1:7" x14ac:dyDescent="0.25">
      <c r="A175" s="57" t="s">
        <v>187</v>
      </c>
      <c r="B175" s="91" t="s">
        <v>945</v>
      </c>
      <c r="C175" s="633">
        <v>0</v>
      </c>
      <c r="D175" s="496"/>
      <c r="E175" s="631"/>
      <c r="F175" s="631"/>
      <c r="G175" s="631"/>
    </row>
    <row r="176" spans="1:7" x14ac:dyDescent="0.25">
      <c r="A176" s="57" t="s">
        <v>189</v>
      </c>
      <c r="B176" s="91" t="s">
        <v>1002</v>
      </c>
      <c r="C176" s="633">
        <v>0</v>
      </c>
      <c r="D176" s="496"/>
      <c r="E176" s="631"/>
      <c r="F176" s="631"/>
      <c r="G176" s="631"/>
    </row>
    <row r="177" spans="1:7" x14ac:dyDescent="0.25">
      <c r="A177" s="57" t="s">
        <v>336</v>
      </c>
      <c r="B177" s="91" t="s">
        <v>1003</v>
      </c>
      <c r="C177" s="633">
        <v>0</v>
      </c>
      <c r="D177" s="496"/>
      <c r="E177" s="631"/>
      <c r="F177" s="631"/>
      <c r="G177" s="631"/>
    </row>
    <row r="178" spans="1:7" x14ac:dyDescent="0.25">
      <c r="A178" s="57" t="s">
        <v>338</v>
      </c>
      <c r="B178" s="91" t="s">
        <v>1004</v>
      </c>
      <c r="C178" s="633">
        <v>0</v>
      </c>
      <c r="D178" s="496"/>
      <c r="E178" s="631"/>
      <c r="F178" s="631"/>
      <c r="G178" s="631"/>
    </row>
    <row r="179" spans="1:7" x14ac:dyDescent="0.25">
      <c r="A179" s="57" t="s">
        <v>408</v>
      </c>
      <c r="B179" s="91" t="s">
        <v>1005</v>
      </c>
      <c r="C179" s="633">
        <v>0</v>
      </c>
      <c r="D179" s="496"/>
      <c r="E179" s="631"/>
      <c r="F179" s="631"/>
      <c r="G179" s="631"/>
    </row>
    <row r="180" spans="1:7" x14ac:dyDescent="0.25">
      <c r="A180" s="57" t="s">
        <v>1070</v>
      </c>
      <c r="B180" s="91" t="s">
        <v>955</v>
      </c>
      <c r="C180" s="633">
        <v>0</v>
      </c>
      <c r="D180" s="496"/>
      <c r="E180" s="631"/>
      <c r="F180" s="631"/>
      <c r="G180" s="631"/>
    </row>
    <row r="181" spans="1:7" x14ac:dyDescent="0.25">
      <c r="A181" s="57" t="s">
        <v>1071</v>
      </c>
      <c r="B181" s="91" t="s">
        <v>1006</v>
      </c>
      <c r="C181" s="633">
        <f>'[2]12'!$D$31</f>
        <v>1.4263999999999999</v>
      </c>
      <c r="D181" s="496"/>
      <c r="E181" s="631"/>
      <c r="F181" s="631"/>
      <c r="G181" s="631"/>
    </row>
    <row r="182" spans="1:7" x14ac:dyDescent="0.25">
      <c r="A182" s="57" t="s">
        <v>1072</v>
      </c>
      <c r="B182" s="91" t="s">
        <v>957</v>
      </c>
      <c r="C182" s="633">
        <v>0</v>
      </c>
      <c r="D182" s="496"/>
      <c r="E182" s="631"/>
      <c r="F182" s="631"/>
      <c r="G182" s="631"/>
    </row>
    <row r="183" spans="1:7" x14ac:dyDescent="0.25">
      <c r="A183" s="57" t="s">
        <v>1073</v>
      </c>
      <c r="B183" s="91" t="s">
        <v>1007</v>
      </c>
      <c r="C183" s="633">
        <v>0</v>
      </c>
      <c r="D183" s="496"/>
      <c r="E183" s="631"/>
      <c r="F183" s="631"/>
      <c r="G183" s="631"/>
    </row>
    <row r="184" spans="1:7" x14ac:dyDescent="0.25">
      <c r="A184" s="57" t="s">
        <v>1074</v>
      </c>
      <c r="B184" s="91" t="s">
        <v>1008</v>
      </c>
      <c r="C184" s="633">
        <f>'Forma 11'!VAS011_F_PersonaloMokymoSanaudosVISOSVANDENTVARKOSSANAUDOS+'Forma 11'!VAS011_F_DarboSaugosSanaudosVISOSVANDENTVARKOSSANAUDOS</f>
        <v>2.6832280768000003</v>
      </c>
      <c r="D184" s="600" t="s">
        <v>1075</v>
      </c>
      <c r="E184" s="631"/>
      <c r="F184" s="631"/>
      <c r="G184" s="631"/>
    </row>
    <row r="185" spans="1:7" ht="15.75" thickBot="1" x14ac:dyDescent="0.3">
      <c r="A185" s="104" t="s">
        <v>1076</v>
      </c>
      <c r="B185" s="91" t="s">
        <v>1010</v>
      </c>
      <c r="C185" s="634">
        <f>'Forma 12'!VAS012_F_PersonaloMokymoSanaudosVISOSVANDENTVARKOSSANAUDOS+'Forma 12'!VAS012_F_DarboSaugosSanaudosVISOSVANDENTVARKOSSANAUDOS</f>
        <v>3.1296510833678384</v>
      </c>
      <c r="D185" s="604" t="s">
        <v>1077</v>
      </c>
      <c r="E185" s="631"/>
      <c r="F185" s="631"/>
      <c r="G185" s="631"/>
    </row>
    <row r="186" spans="1:7" x14ac:dyDescent="0.25">
      <c r="A186" s="243" t="s">
        <v>546</v>
      </c>
      <c r="B186" s="273" t="s">
        <v>1078</v>
      </c>
      <c r="C186" s="635">
        <f>SUM(C187:C197)</f>
        <v>10.718898950722593</v>
      </c>
      <c r="D186" s="627"/>
      <c r="E186" s="625"/>
      <c r="F186" s="626"/>
      <c r="G186" s="626"/>
    </row>
    <row r="187" spans="1:7" x14ac:dyDescent="0.25">
      <c r="A187" s="212" t="s">
        <v>1079</v>
      </c>
      <c r="B187" s="91" t="s">
        <v>945</v>
      </c>
      <c r="C187" s="630">
        <v>0</v>
      </c>
      <c r="D187" s="496"/>
      <c r="E187" s="631"/>
      <c r="F187" s="631"/>
      <c r="G187" s="631"/>
    </row>
    <row r="188" spans="1:7" x14ac:dyDescent="0.25">
      <c r="A188" s="212" t="s">
        <v>1080</v>
      </c>
      <c r="B188" s="91" t="s">
        <v>1002</v>
      </c>
      <c r="C188" s="630">
        <v>0</v>
      </c>
      <c r="D188" s="496"/>
      <c r="E188" s="631"/>
      <c r="F188" s="631"/>
      <c r="G188" s="631"/>
    </row>
    <row r="189" spans="1:7" x14ac:dyDescent="0.25">
      <c r="A189" s="212" t="s">
        <v>1081</v>
      </c>
      <c r="B189" s="91" t="s">
        <v>1003</v>
      </c>
      <c r="C189" s="630">
        <v>0</v>
      </c>
      <c r="D189" s="496"/>
      <c r="E189" s="631"/>
      <c r="F189" s="631"/>
      <c r="G189" s="631"/>
    </row>
    <row r="190" spans="1:7" x14ac:dyDescent="0.25">
      <c r="A190" s="212" t="s">
        <v>1082</v>
      </c>
      <c r="B190" s="91" t="s">
        <v>1004</v>
      </c>
      <c r="C190" s="630">
        <v>0</v>
      </c>
      <c r="D190" s="496"/>
      <c r="E190" s="631"/>
      <c r="F190" s="631"/>
      <c r="G190" s="631"/>
    </row>
    <row r="191" spans="1:7" x14ac:dyDescent="0.25">
      <c r="A191" s="212" t="s">
        <v>1083</v>
      </c>
      <c r="B191" s="91" t="s">
        <v>1005</v>
      </c>
      <c r="C191" s="630">
        <v>0</v>
      </c>
      <c r="D191" s="496"/>
      <c r="E191" s="631"/>
      <c r="F191" s="631"/>
      <c r="G191" s="631"/>
    </row>
    <row r="192" spans="1:7" x14ac:dyDescent="0.25">
      <c r="A192" s="212" t="s">
        <v>1084</v>
      </c>
      <c r="B192" s="91" t="s">
        <v>955</v>
      </c>
      <c r="C192" s="630">
        <v>0</v>
      </c>
      <c r="D192" s="496"/>
      <c r="E192" s="631"/>
      <c r="F192" s="631"/>
      <c r="G192" s="631"/>
    </row>
    <row r="193" spans="1:7" x14ac:dyDescent="0.25">
      <c r="A193" s="212" t="s">
        <v>1085</v>
      </c>
      <c r="B193" s="91" t="s">
        <v>1006</v>
      </c>
      <c r="C193" s="630">
        <f>'[2]12'!$D$32</f>
        <v>7.1904915666666671</v>
      </c>
      <c r="D193" s="496"/>
      <c r="E193" s="631"/>
      <c r="F193" s="631"/>
      <c r="G193" s="631"/>
    </row>
    <row r="194" spans="1:7" x14ac:dyDescent="0.25">
      <c r="A194" s="212" t="s">
        <v>1086</v>
      </c>
      <c r="B194" s="91" t="s">
        <v>957</v>
      </c>
      <c r="C194" s="630">
        <v>0</v>
      </c>
      <c r="D194" s="496"/>
      <c r="E194" s="631"/>
      <c r="F194" s="631"/>
      <c r="G194" s="631"/>
    </row>
    <row r="195" spans="1:7" x14ac:dyDescent="0.25">
      <c r="A195" s="212" t="s">
        <v>1087</v>
      </c>
      <c r="B195" s="91" t="s">
        <v>1007</v>
      </c>
      <c r="C195" s="630">
        <v>0</v>
      </c>
      <c r="D195" s="496"/>
      <c r="E195" s="631"/>
      <c r="F195" s="631"/>
      <c r="G195" s="631"/>
    </row>
    <row r="196" spans="1:7" x14ac:dyDescent="0.25">
      <c r="A196" s="212" t="s">
        <v>1088</v>
      </c>
      <c r="B196" s="91" t="s">
        <v>1008</v>
      </c>
      <c r="C196" s="630">
        <f>'Forma 11'!VAS011_F_ElektrosEnergijosSanaudosVISOSVANDENTVARKOSSANAUDOS</f>
        <v>2.3926974579266669</v>
      </c>
      <c r="D196" s="600" t="s">
        <v>1089</v>
      </c>
      <c r="E196" s="631"/>
      <c r="F196" s="631"/>
      <c r="G196" s="631"/>
    </row>
    <row r="197" spans="1:7" ht="15.75" thickBot="1" x14ac:dyDescent="0.3">
      <c r="A197" s="601" t="s">
        <v>1090</v>
      </c>
      <c r="B197" s="91" t="s">
        <v>1010</v>
      </c>
      <c r="C197" s="632">
        <f>'Forma 12'!VAS012_F_ElektrosEnergijosSanaudosVISOSVANDENTVARKOSSANAUDOS</f>
        <v>1.1357099261292585</v>
      </c>
      <c r="D197" s="604" t="s">
        <v>1091</v>
      </c>
      <c r="E197" s="631"/>
      <c r="F197" s="631"/>
      <c r="G197" s="631"/>
    </row>
    <row r="198" spans="1:7" x14ac:dyDescent="0.25">
      <c r="A198" s="243" t="s">
        <v>548</v>
      </c>
      <c r="B198" s="273" t="s">
        <v>1092</v>
      </c>
      <c r="C198" s="635">
        <f>SUM(C199,C200,C201,C203)</f>
        <v>0</v>
      </c>
      <c r="D198" s="627"/>
      <c r="E198" s="625"/>
      <c r="F198" s="626"/>
      <c r="G198" s="626"/>
    </row>
    <row r="199" spans="1:7" x14ac:dyDescent="0.25">
      <c r="A199" s="212" t="s">
        <v>1093</v>
      </c>
      <c r="B199" s="91" t="s">
        <v>1094</v>
      </c>
      <c r="C199" s="630">
        <v>0</v>
      </c>
      <c r="D199" s="496"/>
      <c r="E199" s="631"/>
      <c r="F199" s="631"/>
      <c r="G199" s="631"/>
    </row>
    <row r="200" spans="1:7" x14ac:dyDescent="0.25">
      <c r="A200" s="212" t="s">
        <v>1095</v>
      </c>
      <c r="B200" s="91" t="s">
        <v>1005</v>
      </c>
      <c r="C200" s="630">
        <v>0</v>
      </c>
      <c r="D200" s="496"/>
      <c r="E200" s="631"/>
      <c r="F200" s="631"/>
      <c r="G200" s="631"/>
    </row>
    <row r="201" spans="1:7" x14ac:dyDescent="0.25">
      <c r="A201" s="212" t="s">
        <v>1096</v>
      </c>
      <c r="B201" s="91" t="s">
        <v>955</v>
      </c>
      <c r="C201" s="630">
        <v>0</v>
      </c>
      <c r="D201" s="496"/>
      <c r="E201" s="631"/>
      <c r="F201" s="631"/>
      <c r="G201" s="631"/>
    </row>
    <row r="202" spans="1:7" x14ac:dyDescent="0.25">
      <c r="A202" s="636" t="s">
        <v>1097</v>
      </c>
      <c r="B202" s="637" t="s">
        <v>1098</v>
      </c>
      <c r="C202" s="638">
        <v>0</v>
      </c>
      <c r="D202" s="639"/>
      <c r="E202" s="631"/>
      <c r="F202" s="631"/>
      <c r="G202" s="631"/>
    </row>
    <row r="203" spans="1:7" ht="15.75" thickBot="1" x14ac:dyDescent="0.3">
      <c r="A203" s="601" t="s">
        <v>1099</v>
      </c>
      <c r="B203" s="640" t="s">
        <v>1006</v>
      </c>
      <c r="C203" s="632">
        <v>0</v>
      </c>
      <c r="D203" s="500"/>
      <c r="E203" s="631"/>
      <c r="F203" s="631"/>
      <c r="G203" s="631"/>
    </row>
    <row r="204" spans="1:7" x14ac:dyDescent="0.25">
      <c r="A204" s="243" t="s">
        <v>550</v>
      </c>
      <c r="B204" s="273" t="s">
        <v>1100</v>
      </c>
      <c r="C204" s="245">
        <f>SUM(C205:C215)</f>
        <v>81.010891224926439</v>
      </c>
      <c r="D204" s="611"/>
      <c r="E204" s="597"/>
      <c r="F204" s="598"/>
      <c r="G204" s="598"/>
    </row>
    <row r="205" spans="1:7" x14ac:dyDescent="0.25">
      <c r="A205" s="212" t="s">
        <v>1101</v>
      </c>
      <c r="B205" s="91" t="s">
        <v>1102</v>
      </c>
      <c r="C205" s="633">
        <v>0</v>
      </c>
      <c r="D205" s="641"/>
      <c r="E205" s="597"/>
      <c r="F205" s="598"/>
      <c r="G205" s="598"/>
    </row>
    <row r="206" spans="1:7" x14ac:dyDescent="0.25">
      <c r="A206" s="229" t="s">
        <v>1103</v>
      </c>
      <c r="B206" s="91" t="s">
        <v>947</v>
      </c>
      <c r="C206" s="633">
        <v>0</v>
      </c>
      <c r="D206" s="641"/>
      <c r="E206" s="597"/>
      <c r="F206" s="598"/>
      <c r="G206" s="598"/>
    </row>
    <row r="207" spans="1:7" x14ac:dyDescent="0.25">
      <c r="A207" s="212" t="s">
        <v>1104</v>
      </c>
      <c r="B207" s="91" t="s">
        <v>1105</v>
      </c>
      <c r="C207" s="633">
        <v>0</v>
      </c>
      <c r="D207" s="496"/>
      <c r="E207" s="631"/>
      <c r="F207" s="631"/>
      <c r="G207" s="631"/>
    </row>
    <row r="208" spans="1:7" x14ac:dyDescent="0.25">
      <c r="A208" s="212" t="s">
        <v>1106</v>
      </c>
      <c r="B208" s="91" t="s">
        <v>951</v>
      </c>
      <c r="C208" s="633">
        <v>0</v>
      </c>
      <c r="D208" s="496"/>
      <c r="E208" s="631"/>
      <c r="F208" s="631"/>
      <c r="G208" s="631"/>
    </row>
    <row r="209" spans="1:7" x14ac:dyDescent="0.25">
      <c r="A209" s="212" t="s">
        <v>1107</v>
      </c>
      <c r="B209" s="91" t="s">
        <v>1005</v>
      </c>
      <c r="C209" s="633">
        <v>0</v>
      </c>
      <c r="D209" s="496"/>
      <c r="E209" s="631"/>
      <c r="F209" s="631"/>
      <c r="G209" s="631"/>
    </row>
    <row r="210" spans="1:7" x14ac:dyDescent="0.25">
      <c r="A210" s="212" t="s">
        <v>1108</v>
      </c>
      <c r="B210" s="91" t="s">
        <v>955</v>
      </c>
      <c r="C210" s="633">
        <v>0</v>
      </c>
      <c r="D210" s="496"/>
      <c r="E210" s="631"/>
      <c r="F210" s="631"/>
      <c r="G210" s="631"/>
    </row>
    <row r="211" spans="1:7" x14ac:dyDescent="0.25">
      <c r="A211" s="212" t="s">
        <v>1109</v>
      </c>
      <c r="B211" s="91" t="s">
        <v>1006</v>
      </c>
      <c r="C211" s="633">
        <f>'[2]12'!D34</f>
        <v>55.677726736842111</v>
      </c>
      <c r="D211" s="496"/>
      <c r="E211" s="631"/>
      <c r="F211" s="631"/>
      <c r="G211" s="631"/>
    </row>
    <row r="212" spans="1:7" x14ac:dyDescent="0.25">
      <c r="A212" s="212" t="s">
        <v>1110</v>
      </c>
      <c r="B212" s="91" t="s">
        <v>957</v>
      </c>
      <c r="C212" s="633">
        <v>0</v>
      </c>
      <c r="D212" s="496"/>
      <c r="E212" s="631"/>
      <c r="F212" s="631"/>
      <c r="G212" s="631"/>
    </row>
    <row r="213" spans="1:7" x14ac:dyDescent="0.25">
      <c r="A213" s="212" t="s">
        <v>1111</v>
      </c>
      <c r="B213" s="91" t="s">
        <v>1007</v>
      </c>
      <c r="C213" s="633">
        <v>0</v>
      </c>
      <c r="D213" s="496"/>
      <c r="E213" s="631"/>
      <c r="F213" s="631"/>
      <c r="G213" s="631"/>
    </row>
    <row r="214" spans="1:7" x14ac:dyDescent="0.25">
      <c r="A214" s="212" t="s">
        <v>1112</v>
      </c>
      <c r="B214" s="91" t="s">
        <v>1008</v>
      </c>
      <c r="C214" s="633">
        <f>'Forma 11'!VAS011_F_KuroSanaudosVISOSVANDENTVARKOSSANAUDOS</f>
        <v>24.534038203247061</v>
      </c>
      <c r="D214" s="600" t="s">
        <v>1113</v>
      </c>
      <c r="E214" s="631"/>
      <c r="F214" s="631"/>
      <c r="G214" s="631"/>
    </row>
    <row r="215" spans="1:7" ht="15.75" thickBot="1" x14ac:dyDescent="0.3">
      <c r="A215" s="601" t="s">
        <v>1114</v>
      </c>
      <c r="B215" s="91" t="s">
        <v>1010</v>
      </c>
      <c r="C215" s="633">
        <f>'Forma 12'!VAS012_F_KuroSanaudosVISOSVANDENTVARKOSSANAUDOS</f>
        <v>0.79912628483726933</v>
      </c>
      <c r="D215" s="604" t="s">
        <v>1115</v>
      </c>
      <c r="E215" s="631"/>
      <c r="F215" s="631"/>
      <c r="G215" s="631"/>
    </row>
    <row r="216" spans="1:7" x14ac:dyDescent="0.25">
      <c r="A216" s="243" t="s">
        <v>552</v>
      </c>
      <c r="B216" s="273" t="s">
        <v>1116</v>
      </c>
      <c r="C216" s="635">
        <f>SUM(C217:C227)</f>
        <v>83.743049594450369</v>
      </c>
      <c r="D216" s="611"/>
      <c r="E216" s="597"/>
      <c r="F216" s="598"/>
      <c r="G216" s="598"/>
    </row>
    <row r="217" spans="1:7" x14ac:dyDescent="0.25">
      <c r="A217" s="229" t="s">
        <v>1117</v>
      </c>
      <c r="B217" s="91" t="s">
        <v>1118</v>
      </c>
      <c r="C217" s="642">
        <v>0</v>
      </c>
      <c r="D217" s="496"/>
      <c r="E217" s="597"/>
      <c r="F217" s="598"/>
      <c r="G217" s="598"/>
    </row>
    <row r="218" spans="1:7" x14ac:dyDescent="0.25">
      <c r="A218" s="229" t="s">
        <v>1119</v>
      </c>
      <c r="B218" s="91" t="s">
        <v>1002</v>
      </c>
      <c r="C218" s="642">
        <v>0</v>
      </c>
      <c r="D218" s="496"/>
      <c r="E218" s="597"/>
      <c r="F218" s="598"/>
      <c r="G218" s="598"/>
    </row>
    <row r="219" spans="1:7" x14ac:dyDescent="0.25">
      <c r="A219" s="212" t="s">
        <v>1120</v>
      </c>
      <c r="B219" s="91" t="s">
        <v>1121</v>
      </c>
      <c r="C219" s="642">
        <v>0</v>
      </c>
      <c r="D219" s="496"/>
      <c r="E219" s="643"/>
      <c r="F219" s="643"/>
      <c r="G219" s="643"/>
    </row>
    <row r="220" spans="1:7" x14ac:dyDescent="0.25">
      <c r="A220" s="212" t="s">
        <v>1122</v>
      </c>
      <c r="B220" s="91" t="s">
        <v>1004</v>
      </c>
      <c r="C220" s="642">
        <v>0</v>
      </c>
      <c r="D220" s="496"/>
      <c r="E220" s="643"/>
      <c r="F220" s="643"/>
      <c r="G220" s="643"/>
    </row>
    <row r="221" spans="1:7" x14ac:dyDescent="0.25">
      <c r="A221" s="212" t="s">
        <v>1123</v>
      </c>
      <c r="B221" s="91" t="s">
        <v>1005</v>
      </c>
      <c r="C221" s="642">
        <v>0</v>
      </c>
      <c r="D221" s="496"/>
      <c r="E221" s="643"/>
      <c r="F221" s="643"/>
      <c r="G221" s="643"/>
    </row>
    <row r="222" spans="1:7" x14ac:dyDescent="0.25">
      <c r="A222" s="212" t="s">
        <v>1124</v>
      </c>
      <c r="B222" s="91" t="s">
        <v>955</v>
      </c>
      <c r="C222" s="642">
        <v>0</v>
      </c>
      <c r="D222" s="496"/>
      <c r="E222" s="643"/>
      <c r="F222" s="643"/>
      <c r="G222" s="643"/>
    </row>
    <row r="223" spans="1:7" x14ac:dyDescent="0.25">
      <c r="A223" s="212" t="s">
        <v>1125</v>
      </c>
      <c r="B223" s="91" t="s">
        <v>1006</v>
      </c>
      <c r="C223" s="642">
        <f>'[2]12'!$D$35</f>
        <v>57.409266175438596</v>
      </c>
      <c r="D223" s="496"/>
      <c r="E223" s="643"/>
      <c r="F223" s="643"/>
      <c r="G223" s="643"/>
    </row>
    <row r="224" spans="1:7" x14ac:dyDescent="0.25">
      <c r="A224" s="212" t="s">
        <v>1126</v>
      </c>
      <c r="B224" s="91" t="s">
        <v>957</v>
      </c>
      <c r="C224" s="642">
        <v>0</v>
      </c>
      <c r="D224" s="496"/>
      <c r="E224" s="643"/>
      <c r="F224" s="643"/>
      <c r="G224" s="643"/>
    </row>
    <row r="225" spans="1:7" x14ac:dyDescent="0.25">
      <c r="A225" s="212" t="s">
        <v>1127</v>
      </c>
      <c r="B225" s="91" t="s">
        <v>1007</v>
      </c>
      <c r="C225" s="642">
        <v>0</v>
      </c>
      <c r="D225" s="496"/>
      <c r="E225" s="643"/>
      <c r="F225" s="643"/>
      <c r="G225" s="643"/>
    </row>
    <row r="226" spans="1:7" x14ac:dyDescent="0.25">
      <c r="A226" s="212" t="s">
        <v>1128</v>
      </c>
      <c r="B226" s="91" t="s">
        <v>1008</v>
      </c>
      <c r="C226" s="642">
        <f>'Forma 11'!VAS011_F_TransportoPaslauguPagalVISOSVANDENTVARKOSSANAUDOS</f>
        <v>26.33378341901177</v>
      </c>
      <c r="D226" s="600" t="s">
        <v>1129</v>
      </c>
      <c r="E226" s="643"/>
      <c r="F226" s="643"/>
      <c r="G226" s="643"/>
    </row>
    <row r="227" spans="1:7" ht="15.75" thickBot="1" x14ac:dyDescent="0.3">
      <c r="A227" s="601" t="s">
        <v>1130</v>
      </c>
      <c r="B227" s="91" t="s">
        <v>1010</v>
      </c>
      <c r="C227" s="642">
        <f>'Forma 12'!VAS012_F_TransportoPaslauguPagalVISOSVANDENTVARKOSSANAUDOS</f>
        <v>0</v>
      </c>
      <c r="D227" s="604" t="s">
        <v>1131</v>
      </c>
      <c r="E227" s="51"/>
      <c r="F227" s="51"/>
      <c r="G227" s="51"/>
    </row>
    <row r="228" spans="1:7" x14ac:dyDescent="0.25">
      <c r="A228" s="243" t="s">
        <v>554</v>
      </c>
      <c r="B228" s="273" t="s">
        <v>1132</v>
      </c>
      <c r="C228" s="635">
        <f>SUM(C229:C231)</f>
        <v>0</v>
      </c>
      <c r="D228" s="611"/>
      <c r="E228" s="597"/>
      <c r="F228" s="598"/>
      <c r="G228" s="598"/>
    </row>
    <row r="229" spans="1:7" x14ac:dyDescent="0.25">
      <c r="A229" s="212" t="s">
        <v>1133</v>
      </c>
      <c r="B229" s="91" t="s">
        <v>1134</v>
      </c>
      <c r="C229" s="617">
        <v>0</v>
      </c>
      <c r="D229" s="496"/>
      <c r="E229" s="643"/>
      <c r="F229" s="643"/>
      <c r="G229" s="643"/>
    </row>
    <row r="230" spans="1:7" x14ac:dyDescent="0.25">
      <c r="A230" s="212" t="s">
        <v>1135</v>
      </c>
      <c r="B230" s="91" t="s">
        <v>1005</v>
      </c>
      <c r="C230" s="617">
        <v>0</v>
      </c>
      <c r="D230" s="496"/>
      <c r="E230" s="643"/>
      <c r="F230" s="643"/>
      <c r="G230" s="643"/>
    </row>
    <row r="231" spans="1:7" ht="15.75" thickBot="1" x14ac:dyDescent="0.3">
      <c r="A231" s="601" t="s">
        <v>1136</v>
      </c>
      <c r="B231" s="640" t="s">
        <v>1006</v>
      </c>
      <c r="C231" s="620">
        <v>0</v>
      </c>
      <c r="D231" s="500"/>
      <c r="E231" s="643"/>
      <c r="F231" s="643"/>
      <c r="G231" s="643"/>
    </row>
    <row r="232" spans="1:7" x14ac:dyDescent="0.25">
      <c r="A232" s="243" t="s">
        <v>556</v>
      </c>
      <c r="B232" s="644" t="s">
        <v>1137</v>
      </c>
      <c r="C232" s="635">
        <f>SUM(C233:C243)</f>
        <v>14.357658851431387</v>
      </c>
      <c r="D232" s="645"/>
      <c r="E232" s="51"/>
      <c r="F232" s="51"/>
      <c r="G232" s="51"/>
    </row>
    <row r="233" spans="1:7" x14ac:dyDescent="0.25">
      <c r="A233" s="646" t="s">
        <v>1138</v>
      </c>
      <c r="B233" s="91" t="s">
        <v>945</v>
      </c>
      <c r="C233" s="617">
        <v>0</v>
      </c>
      <c r="D233" s="496"/>
      <c r="E233" s="51"/>
      <c r="F233" s="51"/>
      <c r="G233" s="51"/>
    </row>
    <row r="234" spans="1:7" x14ac:dyDescent="0.25">
      <c r="A234" s="646" t="s">
        <v>1139</v>
      </c>
      <c r="B234" s="91" t="s">
        <v>1002</v>
      </c>
      <c r="C234" s="617">
        <v>0</v>
      </c>
      <c r="D234" s="496"/>
      <c r="E234" s="51"/>
      <c r="F234" s="51"/>
      <c r="G234" s="51"/>
    </row>
    <row r="235" spans="1:7" x14ac:dyDescent="0.25">
      <c r="A235" s="646" t="s">
        <v>1140</v>
      </c>
      <c r="B235" s="91" t="s">
        <v>1003</v>
      </c>
      <c r="C235" s="617">
        <v>0</v>
      </c>
      <c r="D235" s="496"/>
      <c r="E235" s="51"/>
      <c r="F235" s="51"/>
      <c r="G235" s="51"/>
    </row>
    <row r="236" spans="1:7" x14ac:dyDescent="0.25">
      <c r="A236" s="646" t="s">
        <v>1141</v>
      </c>
      <c r="B236" s="91" t="s">
        <v>1004</v>
      </c>
      <c r="C236" s="617">
        <v>0</v>
      </c>
      <c r="D236" s="496"/>
      <c r="E236" s="51"/>
      <c r="F236" s="51"/>
      <c r="G236" s="51"/>
    </row>
    <row r="237" spans="1:7" x14ac:dyDescent="0.25">
      <c r="A237" s="646" t="s">
        <v>1142</v>
      </c>
      <c r="B237" s="91" t="s">
        <v>1005</v>
      </c>
      <c r="C237" s="617">
        <v>0</v>
      </c>
      <c r="D237" s="496"/>
      <c r="E237" s="51"/>
      <c r="F237" s="51"/>
      <c r="G237" s="51"/>
    </row>
    <row r="238" spans="1:7" x14ac:dyDescent="0.25">
      <c r="A238" s="646" t="s">
        <v>1143</v>
      </c>
      <c r="B238" s="91" t="s">
        <v>955</v>
      </c>
      <c r="C238" s="617">
        <v>0</v>
      </c>
      <c r="D238" s="496"/>
      <c r="E238" s="51"/>
      <c r="F238" s="51"/>
      <c r="G238" s="51"/>
    </row>
    <row r="239" spans="1:7" x14ac:dyDescent="0.25">
      <c r="A239" s="646" t="s">
        <v>1144</v>
      </c>
      <c r="B239" s="91" t="s">
        <v>1006</v>
      </c>
      <c r="C239" s="617">
        <f>'[2]12'!$D$37</f>
        <v>0</v>
      </c>
      <c r="D239" s="496"/>
      <c r="E239" s="51"/>
      <c r="F239" s="51"/>
      <c r="G239" s="51"/>
    </row>
    <row r="240" spans="1:7" x14ac:dyDescent="0.25">
      <c r="A240" s="212" t="s">
        <v>1145</v>
      </c>
      <c r="B240" s="91" t="s">
        <v>957</v>
      </c>
      <c r="C240" s="617">
        <v>0</v>
      </c>
      <c r="D240" s="496"/>
      <c r="E240" s="51"/>
      <c r="F240" s="51"/>
      <c r="G240" s="51"/>
    </row>
    <row r="241" spans="1:7" x14ac:dyDescent="0.25">
      <c r="A241" s="212" t="s">
        <v>1146</v>
      </c>
      <c r="B241" s="91" t="s">
        <v>1007</v>
      </c>
      <c r="C241" s="617">
        <v>0</v>
      </c>
      <c r="D241" s="496"/>
      <c r="E241" s="51"/>
      <c r="F241" s="51"/>
      <c r="G241" s="51"/>
    </row>
    <row r="242" spans="1:7" x14ac:dyDescent="0.25">
      <c r="A242" s="212" t="s">
        <v>1147</v>
      </c>
      <c r="B242" s="91" t="s">
        <v>1008</v>
      </c>
      <c r="C242" s="617">
        <f>'Forma 11'!VAS011_F_DraudimoPaslauguSanaudosVISOSVANDENTVARKOSSANAUDOS</f>
        <v>0</v>
      </c>
      <c r="D242" s="600" t="s">
        <v>1148</v>
      </c>
      <c r="E242" s="51"/>
      <c r="F242" s="51"/>
      <c r="G242" s="51"/>
    </row>
    <row r="243" spans="1:7" ht="15.75" thickBot="1" x14ac:dyDescent="0.3">
      <c r="A243" s="601" t="s">
        <v>1149</v>
      </c>
      <c r="B243" s="91" t="s">
        <v>1010</v>
      </c>
      <c r="C243" s="620">
        <f>'Forma 12'!VAS012_F_DraudimoPaslauguSanaudosVISOSVANDENTVARKOSSANAUDOS</f>
        <v>14.357658851431387</v>
      </c>
      <c r="D243" s="604" t="s">
        <v>1150</v>
      </c>
      <c r="E243" s="51"/>
      <c r="F243" s="51"/>
      <c r="G243" s="51"/>
    </row>
    <row r="244" spans="1:7" x14ac:dyDescent="0.25">
      <c r="A244" s="243" t="s">
        <v>558</v>
      </c>
      <c r="B244" s="273" t="s">
        <v>1151</v>
      </c>
      <c r="C244" s="245">
        <f>SUM(C245:C255)</f>
        <v>7.151717869431848</v>
      </c>
      <c r="D244" s="611"/>
      <c r="E244" s="597"/>
      <c r="F244" s="598"/>
      <c r="G244" s="598"/>
    </row>
    <row r="245" spans="1:7" x14ac:dyDescent="0.25">
      <c r="A245" s="212" t="s">
        <v>1152</v>
      </c>
      <c r="B245" s="91" t="s">
        <v>945</v>
      </c>
      <c r="C245" s="275">
        <v>0</v>
      </c>
      <c r="D245" s="496"/>
      <c r="E245" s="643"/>
      <c r="F245" s="643"/>
      <c r="G245" s="643"/>
    </row>
    <row r="246" spans="1:7" x14ac:dyDescent="0.25">
      <c r="A246" s="212" t="s">
        <v>1153</v>
      </c>
      <c r="B246" s="91" t="s">
        <v>1002</v>
      </c>
      <c r="C246" s="275">
        <v>0</v>
      </c>
      <c r="D246" s="496"/>
      <c r="E246" s="643"/>
      <c r="F246" s="643"/>
      <c r="G246" s="643"/>
    </row>
    <row r="247" spans="1:7" x14ac:dyDescent="0.25">
      <c r="A247" s="212" t="s">
        <v>1154</v>
      </c>
      <c r="B247" s="91" t="s">
        <v>1003</v>
      </c>
      <c r="C247" s="275">
        <v>0</v>
      </c>
      <c r="D247" s="496"/>
      <c r="E247" s="643"/>
      <c r="F247" s="643"/>
      <c r="G247" s="643"/>
    </row>
    <row r="248" spans="1:7" x14ac:dyDescent="0.25">
      <c r="A248" s="212" t="s">
        <v>1155</v>
      </c>
      <c r="B248" s="91" t="s">
        <v>1004</v>
      </c>
      <c r="C248" s="275">
        <v>0</v>
      </c>
      <c r="D248" s="496"/>
      <c r="E248" s="643"/>
      <c r="F248" s="643"/>
      <c r="G248" s="643"/>
    </row>
    <row r="249" spans="1:7" x14ac:dyDescent="0.25">
      <c r="A249" s="212" t="s">
        <v>1156</v>
      </c>
      <c r="B249" s="91" t="s">
        <v>1005</v>
      </c>
      <c r="C249" s="275">
        <v>0</v>
      </c>
      <c r="D249" s="496"/>
      <c r="E249" s="643"/>
      <c r="F249" s="643"/>
      <c r="G249" s="643"/>
    </row>
    <row r="250" spans="1:7" x14ac:dyDescent="0.25">
      <c r="A250" s="212" t="s">
        <v>1157</v>
      </c>
      <c r="B250" s="91" t="s">
        <v>955</v>
      </c>
      <c r="C250" s="275">
        <v>0</v>
      </c>
      <c r="D250" s="496"/>
      <c r="E250" s="643"/>
      <c r="F250" s="643"/>
      <c r="G250" s="643"/>
    </row>
    <row r="251" spans="1:7" x14ac:dyDescent="0.25">
      <c r="A251" s="212" t="s">
        <v>1158</v>
      </c>
      <c r="B251" s="91" t="s">
        <v>1006</v>
      </c>
      <c r="C251" s="275">
        <f>'[2]12'!$D$38</f>
        <v>0.60069000000000006</v>
      </c>
      <c r="D251" s="496"/>
      <c r="E251" s="643"/>
      <c r="F251" s="643"/>
      <c r="G251" s="643"/>
    </row>
    <row r="252" spans="1:7" x14ac:dyDescent="0.25">
      <c r="A252" s="212" t="s">
        <v>1159</v>
      </c>
      <c r="B252" s="91" t="s">
        <v>957</v>
      </c>
      <c r="C252" s="275">
        <v>0</v>
      </c>
      <c r="D252" s="496"/>
      <c r="E252" s="643"/>
      <c r="F252" s="643"/>
      <c r="G252" s="643"/>
    </row>
    <row r="253" spans="1:7" x14ac:dyDescent="0.25">
      <c r="A253" s="212" t="s">
        <v>1160</v>
      </c>
      <c r="B253" s="91" t="s">
        <v>1007</v>
      </c>
      <c r="C253" s="275">
        <v>0</v>
      </c>
      <c r="D253" s="496"/>
      <c r="E253" s="643"/>
      <c r="F253" s="643"/>
      <c r="G253" s="643"/>
    </row>
    <row r="254" spans="1:7" x14ac:dyDescent="0.25">
      <c r="A254" s="212" t="s">
        <v>1161</v>
      </c>
      <c r="B254" s="91" t="s">
        <v>1008</v>
      </c>
      <c r="C254" s="275">
        <f>'Forma 11'!VAS011_F_KituPaslauguSanaudosVISOSVANDENTVARKOSSANAUDOS</f>
        <v>0</v>
      </c>
      <c r="D254" s="600" t="s">
        <v>1162</v>
      </c>
      <c r="E254" s="643"/>
      <c r="F254" s="643"/>
      <c r="G254" s="643"/>
    </row>
    <row r="255" spans="1:7" x14ac:dyDescent="0.25">
      <c r="A255" s="212" t="s">
        <v>1163</v>
      </c>
      <c r="B255" s="91" t="s">
        <v>1010</v>
      </c>
      <c r="C255" s="628">
        <f>SUM(C256:C260)</f>
        <v>6.5510278694318478</v>
      </c>
      <c r="D255" s="600"/>
      <c r="E255" s="647"/>
      <c r="F255" s="648"/>
      <c r="G255" s="648"/>
    </row>
    <row r="256" spans="1:7" x14ac:dyDescent="0.25">
      <c r="A256" s="79" t="s">
        <v>285</v>
      </c>
      <c r="B256" s="98" t="s">
        <v>1164</v>
      </c>
      <c r="C256" s="220">
        <f>'Forma 12'!VAS012_F_BankuPaslauguSanaudosVISOSVANDENTVARKOSSANAUDOS</f>
        <v>0.3337172482322302</v>
      </c>
      <c r="D256" s="600" t="s">
        <v>1165</v>
      </c>
      <c r="E256" s="643"/>
      <c r="F256" s="643"/>
      <c r="G256" s="643"/>
    </row>
    <row r="257" spans="1:7" x14ac:dyDescent="0.25">
      <c r="A257" s="79" t="s">
        <v>295</v>
      </c>
      <c r="B257" s="98" t="s">
        <v>1166</v>
      </c>
      <c r="C257" s="220">
        <f>'Forma 12'!VAS012_F_TelekomunikacijuSanaudosVISOSVANDENTVARKOSSANAUDOS</f>
        <v>3.1856373196155867</v>
      </c>
      <c r="D257" s="600" t="s">
        <v>1167</v>
      </c>
      <c r="E257" s="643"/>
      <c r="F257" s="643"/>
      <c r="G257" s="643"/>
    </row>
    <row r="258" spans="1:7" x14ac:dyDescent="0.25">
      <c r="A258" s="79" t="s">
        <v>297</v>
      </c>
      <c r="B258" s="649" t="s">
        <v>872</v>
      </c>
      <c r="C258" s="220">
        <f>'Forma 12'!VAS012_F_TeisiniuIrKonsultaciniuVISOSVANDENTVARKOSSANAUDOS</f>
        <v>1.1588569472686026</v>
      </c>
      <c r="D258" s="600" t="s">
        <v>1168</v>
      </c>
      <c r="E258" s="643"/>
      <c r="F258" s="643"/>
      <c r="G258" s="643"/>
    </row>
    <row r="259" spans="1:7" x14ac:dyDescent="0.25">
      <c r="A259" s="79" t="s">
        <v>16</v>
      </c>
      <c r="B259" s="98" t="s">
        <v>1169</v>
      </c>
      <c r="C259" s="220">
        <f>'Forma 12'!VAS012_F_GyventojuImokuAdministravimoVISOSVANDENTVARKOSSANAUDOS</f>
        <v>0</v>
      </c>
      <c r="D259" s="600" t="s">
        <v>1170</v>
      </c>
      <c r="E259" s="643"/>
      <c r="F259" s="643"/>
      <c r="G259" s="643"/>
    </row>
    <row r="260" spans="1:7" ht="15.75" thickBot="1" x14ac:dyDescent="0.3">
      <c r="A260" s="179" t="s">
        <v>18</v>
      </c>
      <c r="B260" s="650" t="s">
        <v>1171</v>
      </c>
      <c r="C260" s="651">
        <f>'Forma 12'!VAS012_F_KituPaslauguSanaudosVISOSVANDENTVARKOSSANAUDOS</f>
        <v>1.8728163543154279</v>
      </c>
      <c r="D260" s="604" t="s">
        <v>1172</v>
      </c>
      <c r="E260" s="643"/>
      <c r="F260" s="643"/>
      <c r="G260" s="643"/>
    </row>
    <row r="261" spans="1:7" x14ac:dyDescent="0.25">
      <c r="A261" s="243" t="s">
        <v>561</v>
      </c>
      <c r="B261" s="273" t="s">
        <v>1173</v>
      </c>
      <c r="C261" s="635">
        <f>SUM(C262:C270)</f>
        <v>0</v>
      </c>
      <c r="D261" s="611"/>
      <c r="E261" s="597"/>
      <c r="F261" s="598"/>
      <c r="G261" s="598"/>
    </row>
    <row r="262" spans="1:7" x14ac:dyDescent="0.25">
      <c r="A262" s="212" t="s">
        <v>1174</v>
      </c>
      <c r="B262" s="91" t="s">
        <v>945</v>
      </c>
      <c r="C262" s="617">
        <v>0</v>
      </c>
      <c r="D262" s="496"/>
      <c r="E262" s="643"/>
      <c r="F262" s="643"/>
      <c r="G262" s="643"/>
    </row>
    <row r="263" spans="1:7" x14ac:dyDescent="0.25">
      <c r="A263" s="212" t="s">
        <v>1175</v>
      </c>
      <c r="B263" s="91" t="s">
        <v>1002</v>
      </c>
      <c r="C263" s="617">
        <v>0</v>
      </c>
      <c r="D263" s="496"/>
      <c r="E263" s="643"/>
      <c r="F263" s="643"/>
      <c r="G263" s="643"/>
    </row>
    <row r="264" spans="1:7" x14ac:dyDescent="0.25">
      <c r="A264" s="212" t="s">
        <v>1176</v>
      </c>
      <c r="B264" s="91" t="s">
        <v>1003</v>
      </c>
      <c r="C264" s="617">
        <v>0</v>
      </c>
      <c r="D264" s="496"/>
      <c r="E264" s="643"/>
      <c r="F264" s="643"/>
      <c r="G264" s="643"/>
    </row>
    <row r="265" spans="1:7" x14ac:dyDescent="0.25">
      <c r="A265" s="212" t="s">
        <v>1177</v>
      </c>
      <c r="B265" s="91" t="s">
        <v>1004</v>
      </c>
      <c r="C265" s="617">
        <v>0</v>
      </c>
      <c r="D265" s="496"/>
      <c r="E265" s="643"/>
      <c r="F265" s="643"/>
      <c r="G265" s="643"/>
    </row>
    <row r="266" spans="1:7" x14ac:dyDescent="0.25">
      <c r="A266" s="212" t="s">
        <v>1178</v>
      </c>
      <c r="B266" s="91" t="s">
        <v>1005</v>
      </c>
      <c r="C266" s="617">
        <v>0</v>
      </c>
      <c r="D266" s="496"/>
      <c r="E266" s="643"/>
      <c r="F266" s="643"/>
      <c r="G266" s="643"/>
    </row>
    <row r="267" spans="1:7" x14ac:dyDescent="0.25">
      <c r="A267" s="212" t="s">
        <v>1179</v>
      </c>
      <c r="B267" s="91" t="s">
        <v>955</v>
      </c>
      <c r="C267" s="617">
        <v>0</v>
      </c>
      <c r="D267" s="496"/>
      <c r="E267" s="643"/>
      <c r="F267" s="643"/>
      <c r="G267" s="643"/>
    </row>
    <row r="268" spans="1:7" x14ac:dyDescent="0.25">
      <c r="A268" s="212" t="s">
        <v>1180</v>
      </c>
      <c r="B268" s="91" t="s">
        <v>1006</v>
      </c>
      <c r="C268" s="617">
        <f>'[2]12'!$D$39</f>
        <v>0</v>
      </c>
      <c r="D268" s="496"/>
      <c r="E268" s="643"/>
      <c r="F268" s="643"/>
      <c r="G268" s="643"/>
    </row>
    <row r="269" spans="1:7" x14ac:dyDescent="0.25">
      <c r="A269" s="212" t="s">
        <v>1181</v>
      </c>
      <c r="B269" s="91" t="s">
        <v>957</v>
      </c>
      <c r="C269" s="617">
        <v>0</v>
      </c>
      <c r="D269" s="496"/>
      <c r="E269" s="643"/>
      <c r="F269" s="643"/>
      <c r="G269" s="643"/>
    </row>
    <row r="270" spans="1:7" ht="15.75" thickBot="1" x14ac:dyDescent="0.3">
      <c r="A270" s="601" t="s">
        <v>1182</v>
      </c>
      <c r="B270" s="640" t="s">
        <v>1007</v>
      </c>
      <c r="C270" s="617">
        <v>0</v>
      </c>
      <c r="D270" s="500"/>
      <c r="E270" s="643"/>
      <c r="F270" s="643"/>
      <c r="G270" s="643"/>
    </row>
    <row r="271" spans="1:7" x14ac:dyDescent="0.25">
      <c r="A271" s="243" t="s">
        <v>563</v>
      </c>
      <c r="B271" s="273" t="s">
        <v>1183</v>
      </c>
      <c r="C271" s="245">
        <f>SUM(C272:C282)</f>
        <v>41.081625005105479</v>
      </c>
      <c r="D271" s="611"/>
      <c r="E271" s="597"/>
      <c r="F271" s="598"/>
      <c r="G271" s="598"/>
    </row>
    <row r="272" spans="1:7" x14ac:dyDescent="0.25">
      <c r="A272" s="212" t="s">
        <v>1184</v>
      </c>
      <c r="B272" s="91" t="s">
        <v>945</v>
      </c>
      <c r="C272" s="275">
        <v>0</v>
      </c>
      <c r="D272" s="496"/>
      <c r="E272" s="643"/>
      <c r="F272" s="643"/>
      <c r="G272" s="643"/>
    </row>
    <row r="273" spans="1:7" x14ac:dyDescent="0.25">
      <c r="A273" s="212" t="s">
        <v>1185</v>
      </c>
      <c r="B273" s="91" t="s">
        <v>1002</v>
      </c>
      <c r="C273" s="275">
        <v>0</v>
      </c>
      <c r="D273" s="496"/>
      <c r="E273" s="643"/>
      <c r="F273" s="643"/>
      <c r="G273" s="643"/>
    </row>
    <row r="274" spans="1:7" x14ac:dyDescent="0.25">
      <c r="A274" s="212" t="s">
        <v>1186</v>
      </c>
      <c r="B274" s="91" t="s">
        <v>1003</v>
      </c>
      <c r="C274" s="275">
        <v>0</v>
      </c>
      <c r="D274" s="496"/>
      <c r="E274" s="643"/>
      <c r="F274" s="643"/>
      <c r="G274" s="643"/>
    </row>
    <row r="275" spans="1:7" x14ac:dyDescent="0.25">
      <c r="A275" s="212" t="s">
        <v>1187</v>
      </c>
      <c r="B275" s="91" t="s">
        <v>1004</v>
      </c>
      <c r="C275" s="275">
        <v>0</v>
      </c>
      <c r="D275" s="496"/>
      <c r="E275" s="643"/>
      <c r="F275" s="643"/>
      <c r="G275" s="643"/>
    </row>
    <row r="276" spans="1:7" x14ac:dyDescent="0.25">
      <c r="A276" s="212" t="s">
        <v>1188</v>
      </c>
      <c r="B276" s="91" t="s">
        <v>1005</v>
      </c>
      <c r="C276" s="275">
        <v>0</v>
      </c>
      <c r="D276" s="496"/>
      <c r="E276" s="643"/>
      <c r="F276" s="643"/>
      <c r="G276" s="643"/>
    </row>
    <row r="277" spans="1:7" x14ac:dyDescent="0.25">
      <c r="A277" s="212" t="s">
        <v>1189</v>
      </c>
      <c r="B277" s="91" t="s">
        <v>955</v>
      </c>
      <c r="C277" s="275">
        <v>0</v>
      </c>
      <c r="D277" s="496"/>
      <c r="E277" s="643"/>
      <c r="F277" s="643"/>
      <c r="G277" s="643"/>
    </row>
    <row r="278" spans="1:7" x14ac:dyDescent="0.25">
      <c r="A278" s="212" t="s">
        <v>1190</v>
      </c>
      <c r="B278" s="91" t="s">
        <v>1006</v>
      </c>
      <c r="C278" s="275">
        <f>'[2]12'!$D$40</f>
        <v>17.755800000000001</v>
      </c>
      <c r="D278" s="496"/>
      <c r="E278" s="643"/>
      <c r="F278" s="643"/>
      <c r="G278" s="643"/>
    </row>
    <row r="279" spans="1:7" x14ac:dyDescent="0.25">
      <c r="A279" s="212" t="s">
        <v>1191</v>
      </c>
      <c r="B279" s="91" t="s">
        <v>957</v>
      </c>
      <c r="C279" s="275">
        <v>0</v>
      </c>
      <c r="D279" s="496"/>
      <c r="E279" s="643"/>
      <c r="F279" s="643"/>
      <c r="G279" s="643"/>
    </row>
    <row r="280" spans="1:7" x14ac:dyDescent="0.25">
      <c r="A280" s="212" t="s">
        <v>1192</v>
      </c>
      <c r="B280" s="91" t="s">
        <v>1007</v>
      </c>
      <c r="C280" s="275">
        <v>0</v>
      </c>
      <c r="D280" s="496"/>
      <c r="E280" s="643"/>
      <c r="F280" s="643"/>
      <c r="G280" s="643"/>
    </row>
    <row r="281" spans="1:7" x14ac:dyDescent="0.25">
      <c r="A281" s="212" t="s">
        <v>1193</v>
      </c>
      <c r="B281" s="91" t="s">
        <v>1008</v>
      </c>
      <c r="C281" s="275">
        <f>'Forma 11'!VAS011_F_KanceliarinesPastoSanaudosVISOSVANDENTVARKOSSANAUDOS+'Forma 11'!VAS011_F_KitosSanaudos1VISOSVANDENTVARKOSSANAUDOS</f>
        <v>12.161208119000001</v>
      </c>
      <c r="D281" s="600" t="s">
        <v>1194</v>
      </c>
      <c r="E281" s="643"/>
      <c r="F281" s="643"/>
      <c r="G281" s="643"/>
    </row>
    <row r="282" spans="1:7" ht="15.75" thickBot="1" x14ac:dyDescent="0.3">
      <c r="A282" s="601" t="s">
        <v>1195</v>
      </c>
      <c r="B282" s="91" t="s">
        <v>1010</v>
      </c>
      <c r="C282" s="652">
        <f>'Forma 12'!VAS012_F_KanceliarinesPastoSanaudosVISOSVANDENTVARKOSSANAUDOS+'Forma 12'!VAS012_F_RinkodarosInformavimoVeiklosVISOSVANDENTVARKOSSANAUDOS+'Forma 12'!VAS012_F_KitosSanaudos1VISOSVANDENTVARKOSSANAUDOS</f>
        <v>11.164616886105479</v>
      </c>
      <c r="D282" s="604" t="s">
        <v>1196</v>
      </c>
      <c r="E282" s="643"/>
      <c r="F282" s="643"/>
      <c r="G282" s="643"/>
    </row>
    <row r="283" spans="1:7" x14ac:dyDescent="0.25">
      <c r="A283" s="243" t="s">
        <v>565</v>
      </c>
      <c r="B283" s="273" t="s">
        <v>1197</v>
      </c>
      <c r="C283" s="635">
        <f>SUM(C284:C294)</f>
        <v>89.695897274296044</v>
      </c>
      <c r="D283" s="611"/>
      <c r="E283" s="643"/>
      <c r="F283" s="643"/>
      <c r="G283" s="643"/>
    </row>
    <row r="284" spans="1:7" x14ac:dyDescent="0.25">
      <c r="A284" s="212" t="s">
        <v>1198</v>
      </c>
      <c r="B284" s="91" t="s">
        <v>945</v>
      </c>
      <c r="C284" s="630">
        <v>0</v>
      </c>
      <c r="D284" s="496"/>
      <c r="E284" s="643"/>
      <c r="F284" s="643"/>
      <c r="G284" s="643"/>
    </row>
    <row r="285" spans="1:7" x14ac:dyDescent="0.25">
      <c r="A285" s="212" t="s">
        <v>1199</v>
      </c>
      <c r="B285" s="91" t="s">
        <v>1002</v>
      </c>
      <c r="C285" s="630">
        <v>0</v>
      </c>
      <c r="D285" s="496"/>
      <c r="E285" s="643"/>
      <c r="F285" s="643"/>
      <c r="G285" s="643"/>
    </row>
    <row r="286" spans="1:7" x14ac:dyDescent="0.25">
      <c r="A286" s="212" t="s">
        <v>1200</v>
      </c>
      <c r="B286" s="91" t="s">
        <v>1003</v>
      </c>
      <c r="C286" s="630">
        <v>0</v>
      </c>
      <c r="D286" s="496"/>
      <c r="E286" s="643"/>
      <c r="F286" s="643"/>
      <c r="G286" s="643"/>
    </row>
    <row r="287" spans="1:7" x14ac:dyDescent="0.25">
      <c r="A287" s="212" t="s">
        <v>1201</v>
      </c>
      <c r="B287" s="91" t="s">
        <v>1004</v>
      </c>
      <c r="C287" s="630">
        <v>0</v>
      </c>
      <c r="D287" s="496"/>
      <c r="E287" s="643"/>
      <c r="F287" s="643"/>
      <c r="G287" s="643"/>
    </row>
    <row r="288" spans="1:7" x14ac:dyDescent="0.25">
      <c r="A288" s="212" t="s">
        <v>1202</v>
      </c>
      <c r="B288" s="91" t="s">
        <v>1005</v>
      </c>
      <c r="C288" s="630">
        <v>0</v>
      </c>
      <c r="D288" s="496"/>
      <c r="E288" s="643"/>
      <c r="F288" s="643"/>
      <c r="G288" s="643"/>
    </row>
    <row r="289" spans="1:7" x14ac:dyDescent="0.25">
      <c r="A289" s="212" t="s">
        <v>1203</v>
      </c>
      <c r="B289" s="91" t="s">
        <v>955</v>
      </c>
      <c r="C289" s="630">
        <v>0</v>
      </c>
      <c r="D289" s="496"/>
      <c r="E289" s="643"/>
      <c r="F289" s="643"/>
      <c r="G289" s="643"/>
    </row>
    <row r="290" spans="1:7" x14ac:dyDescent="0.25">
      <c r="A290" s="212" t="s">
        <v>1204</v>
      </c>
      <c r="B290" s="91" t="s">
        <v>1006</v>
      </c>
      <c r="C290" s="630">
        <f>'[2]12'!$D$49</f>
        <v>82.361000000000004</v>
      </c>
      <c r="D290" s="496"/>
      <c r="E290" s="643"/>
      <c r="F290" s="643"/>
      <c r="G290" s="643"/>
    </row>
    <row r="291" spans="1:7" x14ac:dyDescent="0.25">
      <c r="A291" s="212" t="s">
        <v>1205</v>
      </c>
      <c r="B291" s="91" t="s">
        <v>957</v>
      </c>
      <c r="C291" s="630">
        <v>0</v>
      </c>
      <c r="D291" s="496"/>
      <c r="E291" s="643"/>
      <c r="F291" s="643"/>
      <c r="G291" s="643"/>
    </row>
    <row r="292" spans="1:7" x14ac:dyDescent="0.25">
      <c r="A292" s="212" t="s">
        <v>1206</v>
      </c>
      <c r="B292" s="91" t="s">
        <v>1007</v>
      </c>
      <c r="C292" s="630">
        <v>0</v>
      </c>
      <c r="D292" s="496"/>
      <c r="E292" s="643"/>
      <c r="F292" s="643"/>
      <c r="G292" s="643"/>
    </row>
    <row r="293" spans="1:7" x14ac:dyDescent="0.25">
      <c r="A293" s="212" t="s">
        <v>1207</v>
      </c>
      <c r="B293" s="91" t="s">
        <v>1008</v>
      </c>
      <c r="C293" s="630">
        <f>'Forma 11'!VAS011_F_MokesciaiVISOSVANDENTVARKOSSANAUDOS</f>
        <v>0.79894176000000006</v>
      </c>
      <c r="D293" s="600" t="s">
        <v>1208</v>
      </c>
      <c r="E293" s="643"/>
      <c r="F293" s="643"/>
      <c r="G293" s="643"/>
    </row>
    <row r="294" spans="1:7" ht="15.75" thickBot="1" x14ac:dyDescent="0.3">
      <c r="A294" s="212" t="s">
        <v>1209</v>
      </c>
      <c r="B294" s="91" t="s">
        <v>1010</v>
      </c>
      <c r="C294" s="630">
        <f>'Forma 12'!VAS012_F_MokesciuSanaudosVISOSVANDENTVARKOSSANAUDOS</f>
        <v>6.5359555142960302</v>
      </c>
      <c r="D294" s="604" t="s">
        <v>1210</v>
      </c>
      <c r="E294" s="643"/>
      <c r="F294" s="643"/>
      <c r="G294" s="643"/>
    </row>
    <row r="295" spans="1:7" ht="15.75" thickBot="1" x14ac:dyDescent="0.3">
      <c r="A295" s="605"/>
      <c r="B295" s="653" t="s">
        <v>1211</v>
      </c>
      <c r="C295" s="607">
        <f>SUM(C23,C53)</f>
        <v>20478.88018</v>
      </c>
      <c r="D295" s="654" t="s">
        <v>1212</v>
      </c>
      <c r="E295" s="643"/>
      <c r="F295" s="643"/>
      <c r="G295" s="643"/>
    </row>
    <row r="296" spans="1:7" x14ac:dyDescent="0.25">
      <c r="A296" s="589"/>
      <c r="B296" s="655"/>
      <c r="C296" s="589"/>
      <c r="D296" s="656"/>
      <c r="E296" s="589"/>
      <c r="F296" s="589"/>
      <c r="G296" s="589"/>
    </row>
    <row r="297" spans="1:7" x14ac:dyDescent="0.25">
      <c r="A297" s="589"/>
      <c r="B297" s="655"/>
      <c r="C297" s="589"/>
      <c r="D297" s="656"/>
      <c r="E297" s="589"/>
      <c r="F297" s="589"/>
      <c r="G297" s="589"/>
    </row>
    <row r="298" spans="1:7" x14ac:dyDescent="0.25">
      <c r="A298" s="657"/>
      <c r="B298" s="593"/>
      <c r="C298" s="589"/>
      <c r="D298" s="656"/>
      <c r="E298" s="589"/>
      <c r="F298" s="589"/>
      <c r="G298" s="589"/>
    </row>
    <row r="299" spans="1:7" x14ac:dyDescent="0.25">
      <c r="A299" s="589"/>
      <c r="B299" s="593"/>
      <c r="C299" s="589"/>
      <c r="D299" s="656"/>
      <c r="E299" s="589"/>
      <c r="F299" s="589"/>
      <c r="G299" s="589"/>
    </row>
    <row r="300" spans="1:7" x14ac:dyDescent="0.25">
      <c r="A300" s="589"/>
      <c r="B300" s="593"/>
      <c r="C300" s="589"/>
      <c r="D300" s="656"/>
      <c r="E300" s="589"/>
      <c r="F300" s="589"/>
      <c r="G300" s="589"/>
    </row>
    <row r="301" spans="1:7" x14ac:dyDescent="0.25">
      <c r="A301" s="589"/>
      <c r="B301" s="593"/>
      <c r="C301" s="589"/>
      <c r="D301" s="656"/>
      <c r="E301" s="589"/>
      <c r="F301" s="589"/>
      <c r="G301" s="589"/>
    </row>
    <row r="302" spans="1:7" x14ac:dyDescent="0.25">
      <c r="A302" s="589"/>
      <c r="B302" s="593"/>
      <c r="C302" s="589"/>
      <c r="D302" s="656"/>
      <c r="E302" s="589"/>
      <c r="F302" s="589"/>
      <c r="G302" s="589"/>
    </row>
    <row r="303" spans="1:7" x14ac:dyDescent="0.25">
      <c r="A303" s="589"/>
      <c r="B303" s="593"/>
      <c r="C303" s="589"/>
      <c r="D303" s="656"/>
      <c r="E303" s="589"/>
      <c r="F303" s="589"/>
      <c r="G303" s="589"/>
    </row>
    <row r="304" spans="1:7" x14ac:dyDescent="0.25">
      <c r="A304" s="589"/>
      <c r="B304" s="593"/>
      <c r="C304" s="589"/>
      <c r="D304" s="656"/>
      <c r="E304" s="589"/>
      <c r="F304" s="589"/>
      <c r="G304" s="589"/>
    </row>
    <row r="305" spans="1:7" x14ac:dyDescent="0.25">
      <c r="A305" s="589"/>
      <c r="B305" s="593"/>
      <c r="C305" s="589"/>
      <c r="D305" s="656"/>
      <c r="E305" s="589"/>
      <c r="F305" s="589"/>
      <c r="G305" s="589"/>
    </row>
  </sheetData>
  <sheetProtection algorithmName="SHA-512" hashValue="dTCboa4aYVTFz1Dhq61SujPQoStwgTdVtt0KXJKLvx/qmE824mxh4PRPckGQEgeEMGSat0D/5eFWtMMEFnWNzA==" saltValue="6NjwcikPVrJrJ3LQE9K+rtJGqxmzG4fy5cTQyuPGbumJw24byNvGyhGG5b4xcmql9iljzeEzdxoqqn/88iVzVw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rintOptions horizontalCentered="1"/>
  <pageMargins left="0.39370078740157483" right="0.19685039370078741" top="0.39370078740157483" bottom="0.19685039370078741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7"/>
  <sheetViews>
    <sheetView workbookViewId="0">
      <selection activeCell="D22" sqref="D22"/>
    </sheetView>
  </sheetViews>
  <sheetFormatPr defaultRowHeight="15" x14ac:dyDescent="0.2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2"/>
    </row>
    <row r="2" spans="1:16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2"/>
    </row>
    <row r="3" spans="1:16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5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095" t="s">
        <v>1213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7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 x14ac:dyDescent="0.3">
      <c r="C8" s="1094" t="s">
        <v>1214</v>
      </c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</row>
    <row r="9" spans="1:16" ht="24.75" customHeight="1" thickBot="1" x14ac:dyDescent="0.3">
      <c r="A9" s="1098" t="s">
        <v>1215</v>
      </c>
      <c r="B9" s="1101" t="s">
        <v>1216</v>
      </c>
      <c r="C9" s="1104" t="s">
        <v>1217</v>
      </c>
      <c r="D9" s="1104"/>
      <c r="E9" s="1104"/>
      <c r="F9" s="1104"/>
      <c r="G9" s="1104"/>
      <c r="H9" s="1104"/>
      <c r="I9" s="1104"/>
      <c r="J9" s="1105"/>
      <c r="K9" s="1106" t="s">
        <v>1218</v>
      </c>
      <c r="L9" s="1107"/>
      <c r="M9" s="1106" t="s">
        <v>1219</v>
      </c>
      <c r="N9" s="1107"/>
      <c r="P9" s="658"/>
    </row>
    <row r="10" spans="1:16" x14ac:dyDescent="0.25">
      <c r="A10" s="1099"/>
      <c r="B10" s="1102"/>
      <c r="C10" s="1108" t="s">
        <v>1220</v>
      </c>
      <c r="D10" s="1088" t="s">
        <v>1221</v>
      </c>
      <c r="E10" s="1088" t="s">
        <v>1222</v>
      </c>
      <c r="F10" s="1088" t="s">
        <v>1223</v>
      </c>
      <c r="G10" s="1088" t="s">
        <v>1224</v>
      </c>
      <c r="H10" s="1088" t="s">
        <v>1225</v>
      </c>
      <c r="I10" s="1088" t="s">
        <v>1226</v>
      </c>
      <c r="J10" s="1090" t="s">
        <v>1227</v>
      </c>
      <c r="K10" s="1092" t="s">
        <v>1228</v>
      </c>
      <c r="L10" s="1092" t="s">
        <v>1229</v>
      </c>
      <c r="M10" s="1092" t="s">
        <v>1230</v>
      </c>
      <c r="N10" s="1101" t="s">
        <v>1231</v>
      </c>
      <c r="P10" s="658"/>
    </row>
    <row r="11" spans="1:16" ht="76.5" customHeight="1" thickBot="1" x14ac:dyDescent="0.3">
      <c r="A11" s="1100"/>
      <c r="B11" s="1103"/>
      <c r="C11" s="1109"/>
      <c r="D11" s="1089"/>
      <c r="E11" s="1089"/>
      <c r="F11" s="1089"/>
      <c r="G11" s="1089"/>
      <c r="H11" s="1089"/>
      <c r="I11" s="1089"/>
      <c r="J11" s="1091"/>
      <c r="K11" s="1093"/>
      <c r="L11" s="1093"/>
      <c r="M11" s="1093"/>
      <c r="N11" s="1103"/>
      <c r="P11" s="658"/>
    </row>
    <row r="12" spans="1:16" ht="15.75" x14ac:dyDescent="0.25">
      <c r="A12" s="659" t="s">
        <v>1232</v>
      </c>
      <c r="B12" s="660">
        <v>0</v>
      </c>
      <c r="C12" s="661">
        <v>0</v>
      </c>
      <c r="D12" s="662">
        <v>0</v>
      </c>
      <c r="E12" s="662">
        <v>0</v>
      </c>
      <c r="F12" s="662">
        <v>0</v>
      </c>
      <c r="G12" s="662">
        <v>0</v>
      </c>
      <c r="H12" s="663">
        <v>0</v>
      </c>
      <c r="I12" s="662">
        <v>0</v>
      </c>
      <c r="J12" s="664">
        <v>0</v>
      </c>
      <c r="K12" s="665">
        <v>0</v>
      </c>
      <c r="L12" s="666">
        <v>0</v>
      </c>
      <c r="M12" s="665">
        <v>0</v>
      </c>
      <c r="N12" s="666">
        <v>0</v>
      </c>
      <c r="P12" s="658"/>
    </row>
    <row r="13" spans="1:16" ht="16.5" thickBot="1" x14ac:dyDescent="0.3">
      <c r="A13" s="667" t="s">
        <v>1233</v>
      </c>
      <c r="B13" s="668">
        <v>0</v>
      </c>
      <c r="C13" s="669">
        <v>0</v>
      </c>
      <c r="D13" s="670">
        <v>0</v>
      </c>
      <c r="E13" s="671">
        <v>0</v>
      </c>
      <c r="F13" s="670">
        <v>0</v>
      </c>
      <c r="G13" s="671">
        <v>0</v>
      </c>
      <c r="H13" s="672">
        <v>0</v>
      </c>
      <c r="I13" s="671">
        <v>0</v>
      </c>
      <c r="J13" s="673">
        <v>0</v>
      </c>
      <c r="K13" s="674">
        <v>0</v>
      </c>
      <c r="L13" s="675">
        <v>0</v>
      </c>
      <c r="M13" s="674">
        <v>0</v>
      </c>
      <c r="N13" s="675">
        <v>0</v>
      </c>
      <c r="P13" s="658"/>
    </row>
    <row r="14" spans="1:16" ht="16.5" thickBot="1" x14ac:dyDescent="0.3">
      <c r="A14" s="676" t="s">
        <v>1234</v>
      </c>
      <c r="B14" s="677">
        <f>SUM(B12,B13)</f>
        <v>0</v>
      </c>
      <c r="C14" s="678">
        <f t="shared" ref="C14:N14" si="0">SUM(C12,C13)</f>
        <v>0</v>
      </c>
      <c r="D14" s="679">
        <f t="shared" si="0"/>
        <v>0</v>
      </c>
      <c r="E14" s="679">
        <f t="shared" si="0"/>
        <v>0</v>
      </c>
      <c r="F14" s="679">
        <f t="shared" si="0"/>
        <v>0</v>
      </c>
      <c r="G14" s="679">
        <f t="shared" si="0"/>
        <v>0</v>
      </c>
      <c r="H14" s="679">
        <f t="shared" si="0"/>
        <v>0</v>
      </c>
      <c r="I14" s="679">
        <f t="shared" si="0"/>
        <v>0</v>
      </c>
      <c r="J14" s="680">
        <f t="shared" si="0"/>
        <v>0</v>
      </c>
      <c r="K14" s="678">
        <f t="shared" si="0"/>
        <v>0</v>
      </c>
      <c r="L14" s="681">
        <f t="shared" si="0"/>
        <v>0</v>
      </c>
      <c r="M14" s="682">
        <f t="shared" si="0"/>
        <v>0</v>
      </c>
      <c r="N14" s="680">
        <f t="shared" si="0"/>
        <v>0</v>
      </c>
    </row>
    <row r="16" spans="1:16" x14ac:dyDescent="0.25">
      <c r="A16" s="589" t="s">
        <v>1235</v>
      </c>
    </row>
    <row r="17" spans="16:16" x14ac:dyDescent="0.25">
      <c r="P17" s="683"/>
    </row>
  </sheetData>
  <sheetProtection algorithmName="SHA-512" hashValue="xLUYfpfi0lkRo+A0OknOiBJ9tj9qQ35/MMP72C32vMbE0H6Yg1PObBX8mcKUAVS0pTgB12Bv+9iy9ospKMf3hw==" saltValue="BeFOiVU7+THKsQn+BwrV6POqG6DXcg+ekaST7ucIpapq2MMxJ8S/i1tMetZc9KDnGSGx49bw8x9U6QLlOYAjdQ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03"/>
  <sheetViews>
    <sheetView topLeftCell="A52" zoomScaleNormal="100" workbookViewId="0">
      <selection activeCell="H74" sqref="H74"/>
    </sheetView>
  </sheetViews>
  <sheetFormatPr defaultRowHeight="15" x14ac:dyDescent="0.2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 x14ac:dyDescent="0.25">
      <c r="A1" s="960" t="s">
        <v>0</v>
      </c>
      <c r="B1" s="961"/>
      <c r="C1" s="961"/>
      <c r="D1" s="962"/>
    </row>
    <row r="2" spans="1:7" x14ac:dyDescent="0.25">
      <c r="A2" s="960" t="s">
        <v>1</v>
      </c>
      <c r="B2" s="961"/>
      <c r="C2" s="961"/>
      <c r="D2" s="962"/>
    </row>
    <row r="3" spans="1:7" x14ac:dyDescent="0.25">
      <c r="A3" s="963"/>
      <c r="B3" s="964"/>
      <c r="C3" s="964"/>
      <c r="D3" s="965"/>
    </row>
    <row r="4" spans="1:7" x14ac:dyDescent="0.25">
      <c r="A4" s="1"/>
      <c r="B4" s="1"/>
      <c r="C4" s="1"/>
      <c r="D4" s="1"/>
    </row>
    <row r="5" spans="1:7" x14ac:dyDescent="0.25">
      <c r="A5" s="1095" t="s">
        <v>1236</v>
      </c>
      <c r="B5" s="1096"/>
      <c r="C5" s="1096"/>
      <c r="D5" s="1097"/>
    </row>
    <row r="6" spans="1:7" x14ac:dyDescent="0.25">
      <c r="A6" s="1"/>
      <c r="B6" s="1"/>
      <c r="C6" s="1"/>
      <c r="D6" s="1"/>
    </row>
    <row r="8" spans="1:7" ht="15.75" thickBot="1" x14ac:dyDescent="0.3">
      <c r="A8" s="525"/>
      <c r="B8" s="1071" t="s">
        <v>1237</v>
      </c>
      <c r="C8" s="1071"/>
      <c r="D8" s="1071"/>
      <c r="E8" s="460"/>
      <c r="F8" s="684"/>
      <c r="G8" s="3"/>
    </row>
    <row r="9" spans="1:7" ht="15.75" thickBot="1" x14ac:dyDescent="0.3">
      <c r="A9" s="685" t="s">
        <v>4</v>
      </c>
      <c r="B9" s="686" t="s">
        <v>5</v>
      </c>
      <c r="C9" s="591" t="s">
        <v>1600</v>
      </c>
      <c r="D9" s="592" t="s">
        <v>492</v>
      </c>
      <c r="E9" s="462"/>
      <c r="F9" s="537"/>
      <c r="G9" s="537"/>
    </row>
    <row r="10" spans="1:7" x14ac:dyDescent="0.25">
      <c r="A10" s="541">
        <v>1</v>
      </c>
      <c r="B10" s="53">
        <v>2</v>
      </c>
      <c r="C10" s="54">
        <v>3</v>
      </c>
      <c r="D10" s="687">
        <v>4</v>
      </c>
      <c r="E10" s="462"/>
      <c r="F10" s="537"/>
      <c r="G10" s="537"/>
    </row>
    <row r="11" spans="1:7" x14ac:dyDescent="0.25">
      <c r="A11" s="688" t="s">
        <v>8</v>
      </c>
      <c r="B11" s="11" t="s">
        <v>1238</v>
      </c>
      <c r="C11" s="689">
        <f>SUM(C12,C13,C14,C24)</f>
        <v>2862.3857427390421</v>
      </c>
      <c r="D11" s="690"/>
      <c r="E11" s="462"/>
      <c r="F11" s="537"/>
      <c r="G11" s="537"/>
    </row>
    <row r="12" spans="1:7" x14ac:dyDescent="0.25">
      <c r="A12" s="564" t="s">
        <v>10</v>
      </c>
      <c r="B12" s="14" t="s">
        <v>1239</v>
      </c>
      <c r="C12" s="691">
        <f>'Forma 3'!VAS003_F_VersloVienetuIrPaslauguPajamosIApskaitosVeikla</f>
        <v>0</v>
      </c>
      <c r="D12" s="692" t="s">
        <v>1240</v>
      </c>
      <c r="E12" s="462"/>
      <c r="F12" s="537"/>
      <c r="G12" s="537"/>
    </row>
    <row r="13" spans="1:7" x14ac:dyDescent="0.25">
      <c r="A13" s="564" t="s">
        <v>12</v>
      </c>
      <c r="B13" s="14" t="s">
        <v>1241</v>
      </c>
      <c r="C13" s="693">
        <f>'Forma 3'!VAS003_F_VersloVienetuIrPaslauguPajamosII3pristatymas</f>
        <v>0</v>
      </c>
      <c r="D13" s="692" t="s">
        <v>1242</v>
      </c>
      <c r="E13" s="462"/>
      <c r="F13" s="537"/>
      <c r="G13" s="537"/>
    </row>
    <row r="14" spans="1:7" x14ac:dyDescent="0.25">
      <c r="A14" s="564" t="s">
        <v>14</v>
      </c>
      <c r="B14" s="14" t="s">
        <v>1243</v>
      </c>
      <c r="C14" s="694">
        <f>SUM(C15,C16,C20:C23)</f>
        <v>2862.3857427390421</v>
      </c>
      <c r="D14" s="692" t="s">
        <v>1244</v>
      </c>
      <c r="E14" s="462"/>
      <c r="F14" s="537"/>
      <c r="G14" s="537"/>
    </row>
    <row r="15" spans="1:7" x14ac:dyDescent="0.25">
      <c r="A15" s="695" t="s">
        <v>1245</v>
      </c>
      <c r="B15" s="17" t="s">
        <v>1246</v>
      </c>
      <c r="C15" s="696">
        <v>0</v>
      </c>
      <c r="D15" s="697"/>
      <c r="E15" s="462"/>
      <c r="F15" s="537"/>
      <c r="G15" s="537"/>
    </row>
    <row r="16" spans="1:7" x14ac:dyDescent="0.25">
      <c r="A16" s="695" t="s">
        <v>1247</v>
      </c>
      <c r="B16" s="17" t="s">
        <v>1248</v>
      </c>
      <c r="C16" s="698">
        <f>SUM(C17,C18,C19)</f>
        <v>0</v>
      </c>
      <c r="D16" s="697"/>
      <c r="E16" s="462"/>
      <c r="F16" s="537"/>
      <c r="G16" s="537"/>
    </row>
    <row r="17" spans="1:7" x14ac:dyDescent="0.25">
      <c r="A17" s="695" t="s">
        <v>1249</v>
      </c>
      <c r="B17" s="17" t="s">
        <v>1250</v>
      </c>
      <c r="C17" s="699">
        <v>0</v>
      </c>
      <c r="D17" s="697"/>
      <c r="E17" s="462"/>
      <c r="F17" s="537"/>
      <c r="G17" s="537"/>
    </row>
    <row r="18" spans="1:7" x14ac:dyDescent="0.25">
      <c r="A18" s="695" t="s">
        <v>1251</v>
      </c>
      <c r="B18" s="17" t="s">
        <v>1252</v>
      </c>
      <c r="C18" s="699">
        <v>0</v>
      </c>
      <c r="D18" s="697"/>
      <c r="E18" s="462"/>
      <c r="F18" s="537"/>
      <c r="G18" s="537"/>
    </row>
    <row r="19" spans="1:7" x14ac:dyDescent="0.25">
      <c r="A19" s="695" t="s">
        <v>1253</v>
      </c>
      <c r="B19" s="17" t="s">
        <v>1254</v>
      </c>
      <c r="C19" s="699">
        <v>0</v>
      </c>
      <c r="D19" s="697"/>
      <c r="E19" s="462"/>
      <c r="F19" s="537"/>
      <c r="G19" s="537"/>
    </row>
    <row r="20" spans="1:7" x14ac:dyDescent="0.25">
      <c r="A20" s="695" t="s">
        <v>1255</v>
      </c>
      <c r="B20" s="17" t="s">
        <v>1256</v>
      </c>
      <c r="C20" s="696">
        <v>0</v>
      </c>
      <c r="D20" s="697"/>
      <c r="E20" s="462"/>
      <c r="F20" s="537"/>
      <c r="G20" s="537"/>
    </row>
    <row r="21" spans="1:7" x14ac:dyDescent="0.25">
      <c r="A21" s="695" t="s">
        <v>1257</v>
      </c>
      <c r="B21" s="17" t="s">
        <v>1258</v>
      </c>
      <c r="C21" s="696">
        <v>0</v>
      </c>
      <c r="D21" s="697"/>
      <c r="E21" s="462"/>
      <c r="F21" s="537"/>
      <c r="G21" s="537"/>
    </row>
    <row r="22" spans="1:7" x14ac:dyDescent="0.25">
      <c r="A22" s="79" t="s">
        <v>1259</v>
      </c>
      <c r="B22" s="700" t="s">
        <v>1260</v>
      </c>
      <c r="C22" s="691">
        <f>'Forma 3'!VAS003_F_VersloVienetuIrPaslauguPajamosIII4PavirsiniuNuoteku</f>
        <v>2862.3857427390421</v>
      </c>
      <c r="D22" s="692" t="s">
        <v>1261</v>
      </c>
      <c r="E22" s="462"/>
      <c r="F22" s="537"/>
      <c r="G22" s="537"/>
    </row>
    <row r="23" spans="1:7" x14ac:dyDescent="0.25">
      <c r="A23" s="701" t="s">
        <v>1262</v>
      </c>
      <c r="B23" s="38" t="s">
        <v>1263</v>
      </c>
      <c r="C23" s="691">
        <f>'Forma 3'!VAS003_F_VersloVienetuIrPaslauguPajamosIII5NuotekuTransportavimas</f>
        <v>0</v>
      </c>
      <c r="D23" s="692" t="s">
        <v>1264</v>
      </c>
      <c r="E23" s="462"/>
      <c r="F23" s="537"/>
      <c r="G23" s="537"/>
    </row>
    <row r="24" spans="1:7" x14ac:dyDescent="0.25">
      <c r="A24" s="564" t="s">
        <v>82</v>
      </c>
      <c r="B24" s="14" t="s">
        <v>1265</v>
      </c>
      <c r="C24" s="691">
        <f>'Forma 3'!VAS003_F_PajamosIsReguliuojamojeVISOSVANDENTVARKOSSANAUDOS</f>
        <v>0</v>
      </c>
      <c r="D24" s="692" t="s">
        <v>1266</v>
      </c>
      <c r="E24" s="462"/>
      <c r="F24" s="537"/>
      <c r="G24" s="537"/>
    </row>
    <row r="25" spans="1:7" x14ac:dyDescent="0.25">
      <c r="A25" s="212" t="s">
        <v>22</v>
      </c>
      <c r="B25" s="474" t="s">
        <v>1267</v>
      </c>
      <c r="C25" s="702">
        <f>SUM(C26,C35)</f>
        <v>2902.8727579535462</v>
      </c>
      <c r="D25" s="692"/>
      <c r="E25" s="462"/>
      <c r="F25" s="537"/>
      <c r="G25" s="537"/>
    </row>
    <row r="26" spans="1:7" x14ac:dyDescent="0.25">
      <c r="A26" s="212" t="s">
        <v>24</v>
      </c>
      <c r="B26" s="474" t="s">
        <v>1268</v>
      </c>
      <c r="C26" s="702">
        <f>SUM(C27,C28,C29)</f>
        <v>2362.6278100379204</v>
      </c>
      <c r="D26" s="692" t="s">
        <v>1269</v>
      </c>
      <c r="E26" s="462"/>
      <c r="F26" s="537"/>
      <c r="G26" s="537"/>
    </row>
    <row r="27" spans="1:7" x14ac:dyDescent="0.25">
      <c r="A27" s="564" t="s">
        <v>26</v>
      </c>
      <c r="B27" s="14" t="s">
        <v>1270</v>
      </c>
      <c r="C27" s="703">
        <v>0</v>
      </c>
      <c r="D27" s="692" t="s">
        <v>1271</v>
      </c>
      <c r="E27" s="462"/>
      <c r="F27" s="537"/>
      <c r="G27" s="537"/>
    </row>
    <row r="28" spans="1:7" x14ac:dyDescent="0.25">
      <c r="A28" s="564" t="s">
        <v>28</v>
      </c>
      <c r="B28" s="14" t="s">
        <v>1272</v>
      </c>
      <c r="C28" s="703">
        <v>0</v>
      </c>
      <c r="D28" s="692" t="s">
        <v>1273</v>
      </c>
      <c r="E28" s="462"/>
      <c r="F28" s="537"/>
      <c r="G28" s="537"/>
    </row>
    <row r="29" spans="1:7" x14ac:dyDescent="0.25">
      <c r="A29" s="564" t="s">
        <v>30</v>
      </c>
      <c r="B29" s="14" t="s">
        <v>1274</v>
      </c>
      <c r="C29" s="704">
        <f>SUM(C30:C34)</f>
        <v>2362.6278100379204</v>
      </c>
      <c r="D29" s="692" t="s">
        <v>1275</v>
      </c>
      <c r="E29" s="462"/>
      <c r="F29" s="537"/>
      <c r="G29" s="537"/>
    </row>
    <row r="30" spans="1:7" x14ac:dyDescent="0.25">
      <c r="A30" s="695" t="s">
        <v>1276</v>
      </c>
      <c r="B30" s="17" t="s">
        <v>1277</v>
      </c>
      <c r="C30" s="705">
        <v>0</v>
      </c>
      <c r="D30" s="692" t="s">
        <v>1278</v>
      </c>
      <c r="E30" s="462"/>
      <c r="F30" s="537"/>
      <c r="G30" s="537"/>
    </row>
    <row r="31" spans="1:7" x14ac:dyDescent="0.25">
      <c r="A31" s="695" t="s">
        <v>1279</v>
      </c>
      <c r="B31" s="38" t="s">
        <v>1280</v>
      </c>
      <c r="C31" s="705">
        <v>0</v>
      </c>
      <c r="D31" s="692" t="s">
        <v>1281</v>
      </c>
      <c r="E31" s="462"/>
      <c r="F31" s="537"/>
      <c r="G31" s="537"/>
    </row>
    <row r="32" spans="1:7" x14ac:dyDescent="0.25">
      <c r="A32" s="695" t="s">
        <v>1282</v>
      </c>
      <c r="B32" s="17" t="s">
        <v>1283</v>
      </c>
      <c r="C32" s="705">
        <v>0</v>
      </c>
      <c r="D32" s="692" t="s">
        <v>1284</v>
      </c>
      <c r="E32" s="462"/>
      <c r="F32" s="537"/>
      <c r="G32" s="537"/>
    </row>
    <row r="33" spans="1:7" x14ac:dyDescent="0.25">
      <c r="A33" s="79" t="s">
        <v>1285</v>
      </c>
      <c r="B33" s="700" t="s">
        <v>1260</v>
      </c>
      <c r="C33" s="633">
        <f>'Forma 3'!VAS003_F_UkioSubjektoTiesioginesIII4PavirsiniuNuoteku</f>
        <v>2362.6278100379204</v>
      </c>
      <c r="D33" s="692" t="s">
        <v>1286</v>
      </c>
      <c r="E33" s="462"/>
      <c r="F33" s="537"/>
      <c r="G33" s="537"/>
    </row>
    <row r="34" spans="1:7" x14ac:dyDescent="0.25">
      <c r="A34" s="79" t="s">
        <v>1287</v>
      </c>
      <c r="B34" s="700" t="s">
        <v>1288</v>
      </c>
      <c r="C34" s="703">
        <v>0</v>
      </c>
      <c r="D34" s="692" t="s">
        <v>1289</v>
      </c>
      <c r="E34" s="462"/>
      <c r="F34" s="537"/>
      <c r="G34" s="537"/>
    </row>
    <row r="35" spans="1:7" x14ac:dyDescent="0.25">
      <c r="A35" s="212" t="s">
        <v>90</v>
      </c>
      <c r="B35" s="474" t="s">
        <v>1290</v>
      </c>
      <c r="C35" s="706">
        <f>'Forma 3'!VAS003_F_NetiesioginiuVeiklosSanauduVISOSVANDENTVARKOSSANAUDOS</f>
        <v>540.24494791562552</v>
      </c>
      <c r="D35" s="707" t="s">
        <v>1291</v>
      </c>
      <c r="E35" s="462"/>
      <c r="F35" s="537"/>
      <c r="G35" s="537"/>
    </row>
    <row r="36" spans="1:7" x14ac:dyDescent="0.25">
      <c r="A36" s="708" t="s">
        <v>48</v>
      </c>
      <c r="B36" s="27" t="s">
        <v>1292</v>
      </c>
      <c r="C36" s="702">
        <f>C11-C25</f>
        <v>-40.487015214504027</v>
      </c>
      <c r="D36" s="692"/>
      <c r="E36" s="462"/>
      <c r="F36" s="537"/>
      <c r="G36" s="537"/>
    </row>
    <row r="37" spans="1:7" ht="25.5" x14ac:dyDescent="0.25">
      <c r="A37" s="212" t="s">
        <v>68</v>
      </c>
      <c r="B37" s="474" t="s">
        <v>1293</v>
      </c>
      <c r="C37" s="709">
        <f>'Forma 3'!VAS003_F_BendrujuadministraciniuVeiklosVISOSVANDENTVARKOSSANAUDOS</f>
        <v>129.87784437757986</v>
      </c>
      <c r="D37" s="707" t="s">
        <v>1294</v>
      </c>
      <c r="E37" s="462"/>
      <c r="F37" s="537"/>
      <c r="G37" s="537"/>
    </row>
    <row r="38" spans="1:7" x14ac:dyDescent="0.25">
      <c r="A38" s="708" t="s">
        <v>114</v>
      </c>
      <c r="B38" s="27" t="s">
        <v>1295</v>
      </c>
      <c r="C38" s="702">
        <f>C36-C37</f>
        <v>-170.36485959208389</v>
      </c>
      <c r="D38" s="692"/>
      <c r="E38" s="462"/>
      <c r="F38" s="537"/>
      <c r="G38" s="537"/>
    </row>
    <row r="39" spans="1:7" x14ac:dyDescent="0.25">
      <c r="A39" s="708" t="s">
        <v>1296</v>
      </c>
      <c r="B39" s="27" t="s">
        <v>1297</v>
      </c>
      <c r="C39" s="702">
        <f>C40-C41</f>
        <v>0</v>
      </c>
      <c r="D39" s="692"/>
      <c r="E39" s="462"/>
      <c r="F39" s="537"/>
      <c r="G39" s="537"/>
    </row>
    <row r="40" spans="1:7" x14ac:dyDescent="0.25">
      <c r="A40" s="710" t="s">
        <v>1298</v>
      </c>
      <c r="B40" s="711" t="s">
        <v>1299</v>
      </c>
      <c r="C40" s="709">
        <f>'Forma 3'!VAS003_F_VersloVienetuIrPaslauguPajamosVIKitosReguliuojamos</f>
        <v>0</v>
      </c>
      <c r="D40" s="707" t="s">
        <v>1300</v>
      </c>
      <c r="E40" s="462"/>
      <c r="F40" s="537"/>
      <c r="G40" s="537"/>
    </row>
    <row r="41" spans="1:7" x14ac:dyDescent="0.25">
      <c r="A41" s="710" t="s">
        <v>1301</v>
      </c>
      <c r="B41" s="711" t="s">
        <v>1302</v>
      </c>
      <c r="C41" s="702">
        <f>SUM(C42:C44)</f>
        <v>0</v>
      </c>
      <c r="D41" s="707" t="s">
        <v>1303</v>
      </c>
      <c r="E41" s="462"/>
      <c r="F41" s="537"/>
      <c r="G41" s="537"/>
    </row>
    <row r="42" spans="1:7" x14ac:dyDescent="0.25">
      <c r="A42" s="712" t="s">
        <v>1304</v>
      </c>
      <c r="B42" s="25" t="s">
        <v>1305</v>
      </c>
      <c r="C42" s="275">
        <f>'Forma 3'!VAS003_F_UkioSubjektoTiesioginesVIKitosReguliuojamos</f>
        <v>0</v>
      </c>
      <c r="D42" s="692" t="s">
        <v>1306</v>
      </c>
      <c r="E42" s="462"/>
      <c r="F42" s="537"/>
      <c r="G42" s="537"/>
    </row>
    <row r="43" spans="1:7" x14ac:dyDescent="0.25">
      <c r="A43" s="712" t="s">
        <v>1307</v>
      </c>
      <c r="B43" s="25" t="s">
        <v>1308</v>
      </c>
      <c r="C43" s="275">
        <f>'Forma 3'!VAS003_F_NetiesioginiuVeiklosSanauduVIKitosReguliuojamos</f>
        <v>0</v>
      </c>
      <c r="D43" s="692" t="s">
        <v>1309</v>
      </c>
      <c r="E43" s="462"/>
      <c r="F43" s="537"/>
      <c r="G43" s="537"/>
    </row>
    <row r="44" spans="1:7" x14ac:dyDescent="0.25">
      <c r="A44" s="712" t="s">
        <v>1310</v>
      </c>
      <c r="B44" s="25" t="s">
        <v>1311</v>
      </c>
      <c r="C44" s="275">
        <f>'Forma 3'!VAS003_F_BendrujuadministraciniuVeiklosVIKitosReguliuojamos</f>
        <v>0</v>
      </c>
      <c r="D44" s="692" t="s">
        <v>1312</v>
      </c>
      <c r="E44" s="462"/>
      <c r="F44" s="537"/>
      <c r="G44" s="537"/>
    </row>
    <row r="45" spans="1:7" x14ac:dyDescent="0.25">
      <c r="A45" s="708" t="s">
        <v>1313</v>
      </c>
      <c r="B45" s="27" t="s">
        <v>1314</v>
      </c>
      <c r="C45" s="702">
        <f>C46-C66</f>
        <v>1710.926602734864</v>
      </c>
      <c r="D45" s="692"/>
      <c r="E45" s="462"/>
      <c r="F45" s="537"/>
      <c r="G45" s="537"/>
    </row>
    <row r="46" spans="1:7" x14ac:dyDescent="0.25">
      <c r="A46" s="710" t="s">
        <v>1315</v>
      </c>
      <c r="B46" s="711" t="s">
        <v>1316</v>
      </c>
      <c r="C46" s="702">
        <f>SUM(C47:C54,C56,C58,C60:C64)</f>
        <v>18968.47356726096</v>
      </c>
      <c r="D46" s="692" t="s">
        <v>1317</v>
      </c>
      <c r="E46" s="462"/>
      <c r="F46" s="537"/>
      <c r="G46" s="537"/>
    </row>
    <row r="47" spans="1:7" x14ac:dyDescent="0.25">
      <c r="A47" s="695" t="s">
        <v>1318</v>
      </c>
      <c r="B47" s="17" t="s">
        <v>1319</v>
      </c>
      <c r="C47" s="220">
        <v>0</v>
      </c>
      <c r="D47" s="692"/>
      <c r="E47" s="462"/>
      <c r="F47" s="537"/>
      <c r="G47" s="537"/>
    </row>
    <row r="48" spans="1:7" x14ac:dyDescent="0.25">
      <c r="A48" s="695" t="s">
        <v>1320</v>
      </c>
      <c r="B48" s="17" t="s">
        <v>1321</v>
      </c>
      <c r="C48" s="220">
        <v>0</v>
      </c>
      <c r="D48" s="692"/>
      <c r="E48" s="462"/>
      <c r="F48" s="537"/>
      <c r="G48" s="537"/>
    </row>
    <row r="49" spans="1:7" x14ac:dyDescent="0.25">
      <c r="A49" s="695" t="s">
        <v>1322</v>
      </c>
      <c r="B49" s="17" t="s">
        <v>1323</v>
      </c>
      <c r="C49" s="220">
        <v>0</v>
      </c>
      <c r="D49" s="692"/>
      <c r="E49" s="462"/>
      <c r="F49" s="537"/>
      <c r="G49" s="537"/>
    </row>
    <row r="50" spans="1:7" x14ac:dyDescent="0.25">
      <c r="A50" s="695" t="s">
        <v>1324</v>
      </c>
      <c r="B50" s="17" t="s">
        <v>1325</v>
      </c>
      <c r="C50" s="705">
        <v>0</v>
      </c>
      <c r="D50" s="692"/>
      <c r="E50" s="462"/>
      <c r="F50" s="537"/>
      <c r="G50" s="537"/>
    </row>
    <row r="51" spans="1:7" x14ac:dyDescent="0.25">
      <c r="A51" s="695" t="s">
        <v>1326</v>
      </c>
      <c r="B51" s="17" t="s">
        <v>1327</v>
      </c>
      <c r="C51" s="705">
        <v>0</v>
      </c>
      <c r="D51" s="692"/>
      <c r="E51" s="462"/>
      <c r="F51" s="537"/>
      <c r="G51" s="537"/>
    </row>
    <row r="52" spans="1:7" x14ac:dyDescent="0.25">
      <c r="A52" s="695" t="s">
        <v>1328</v>
      </c>
      <c r="B52" s="17" t="s">
        <v>1329</v>
      </c>
      <c r="C52" s="705">
        <v>0</v>
      </c>
      <c r="D52" s="692"/>
      <c r="E52" s="462"/>
      <c r="F52" s="537"/>
      <c r="G52" s="537"/>
    </row>
    <row r="53" spans="1:7" x14ac:dyDescent="0.25">
      <c r="A53" s="695" t="s">
        <v>1330</v>
      </c>
      <c r="B53" s="17" t="s">
        <v>1331</v>
      </c>
      <c r="C53" s="705">
        <v>0</v>
      </c>
      <c r="D53" s="692"/>
      <c r="E53" s="462"/>
      <c r="F53" s="537"/>
      <c r="G53" s="537"/>
    </row>
    <row r="54" spans="1:7" x14ac:dyDescent="0.25">
      <c r="A54" s="695" t="s">
        <v>1332</v>
      </c>
      <c r="B54" s="17" t="s">
        <v>1333</v>
      </c>
      <c r="C54" s="705">
        <v>0</v>
      </c>
      <c r="D54" s="692"/>
      <c r="E54" s="462"/>
      <c r="F54" s="537"/>
      <c r="G54" s="537"/>
    </row>
    <row r="55" spans="1:7" x14ac:dyDescent="0.25">
      <c r="A55" s="695" t="s">
        <v>1334</v>
      </c>
      <c r="B55" s="17" t="s">
        <v>1335</v>
      </c>
      <c r="C55" s="705">
        <v>0</v>
      </c>
      <c r="D55" s="692"/>
      <c r="E55" s="462"/>
      <c r="F55" s="537"/>
      <c r="G55" s="537"/>
    </row>
    <row r="56" spans="1:7" x14ac:dyDescent="0.25">
      <c r="A56" s="695" t="s">
        <v>1336</v>
      </c>
      <c r="B56" s="17" t="s">
        <v>1337</v>
      </c>
      <c r="C56" s="705">
        <v>0</v>
      </c>
      <c r="D56" s="692"/>
      <c r="E56" s="462"/>
      <c r="F56" s="537"/>
      <c r="G56" s="537"/>
    </row>
    <row r="57" spans="1:7" x14ac:dyDescent="0.25">
      <c r="A57" s="695" t="s">
        <v>1338</v>
      </c>
      <c r="B57" s="17" t="s">
        <v>1335</v>
      </c>
      <c r="C57" s="705">
        <v>0</v>
      </c>
      <c r="D57" s="692"/>
      <c r="E57" s="462"/>
      <c r="F57" s="537"/>
      <c r="G57" s="537"/>
    </row>
    <row r="58" spans="1:7" x14ac:dyDescent="0.25">
      <c r="A58" s="695" t="s">
        <v>1339</v>
      </c>
      <c r="B58" s="17" t="s">
        <v>1340</v>
      </c>
      <c r="C58" s="713">
        <v>0</v>
      </c>
      <c r="D58" s="692"/>
      <c r="E58" s="462"/>
      <c r="F58" s="537"/>
      <c r="G58" s="537"/>
    </row>
    <row r="59" spans="1:7" x14ac:dyDescent="0.25">
      <c r="A59" s="695" t="s">
        <v>1341</v>
      </c>
      <c r="B59" s="17" t="s">
        <v>1335</v>
      </c>
      <c r="C59" s="705">
        <v>0</v>
      </c>
      <c r="D59" s="692"/>
      <c r="E59" s="462"/>
      <c r="F59" s="537"/>
      <c r="G59" s="537"/>
    </row>
    <row r="60" spans="1:7" x14ac:dyDescent="0.25">
      <c r="A60" s="695" t="s">
        <v>1342</v>
      </c>
      <c r="B60" s="17" t="s">
        <v>1343</v>
      </c>
      <c r="C60" s="705">
        <v>0</v>
      </c>
      <c r="D60" s="692"/>
      <c r="E60" s="462"/>
      <c r="F60" s="537"/>
      <c r="G60" s="537"/>
    </row>
    <row r="61" spans="1:7" x14ac:dyDescent="0.25">
      <c r="A61" s="695" t="s">
        <v>1344</v>
      </c>
      <c r="B61" s="17" t="s">
        <v>1345</v>
      </c>
      <c r="C61" s="705">
        <v>0</v>
      </c>
      <c r="D61" s="692"/>
      <c r="E61" s="462"/>
      <c r="F61" s="537"/>
      <c r="G61" s="537"/>
    </row>
    <row r="62" spans="1:7" x14ac:dyDescent="0.25">
      <c r="A62" s="695" t="s">
        <v>1346</v>
      </c>
      <c r="B62" s="17" t="s">
        <v>1347</v>
      </c>
      <c r="C62" s="705">
        <f>'Forma 3'!VAS003_F_VersloVienetuIrPaslauguPajamosVIIKitosVeiklos</f>
        <v>18968.47356726096</v>
      </c>
      <c r="D62" s="692"/>
      <c r="E62" s="462"/>
      <c r="F62" s="537"/>
      <c r="G62" s="537"/>
    </row>
    <row r="63" spans="1:7" x14ac:dyDescent="0.25">
      <c r="A63" s="695" t="s">
        <v>1348</v>
      </c>
      <c r="B63" s="17" t="s">
        <v>1349</v>
      </c>
      <c r="C63" s="705">
        <v>0</v>
      </c>
      <c r="D63" s="692"/>
      <c r="E63" s="462"/>
      <c r="F63" s="537"/>
      <c r="G63" s="537"/>
    </row>
    <row r="64" spans="1:7" x14ac:dyDescent="0.25">
      <c r="A64" s="695" t="s">
        <v>1350</v>
      </c>
      <c r="B64" s="17" t="s">
        <v>1351</v>
      </c>
      <c r="C64" s="705">
        <v>0</v>
      </c>
      <c r="D64" s="692"/>
      <c r="E64" s="462"/>
      <c r="F64" s="537"/>
      <c r="G64" s="537"/>
    </row>
    <row r="65" spans="1:7" x14ac:dyDescent="0.25">
      <c r="A65" s="695" t="s">
        <v>1352</v>
      </c>
      <c r="B65" s="17" t="s">
        <v>1335</v>
      </c>
      <c r="C65" s="705">
        <v>0</v>
      </c>
      <c r="D65" s="692"/>
      <c r="E65" s="462"/>
      <c r="F65" s="537"/>
      <c r="G65" s="537"/>
    </row>
    <row r="66" spans="1:7" x14ac:dyDescent="0.25">
      <c r="A66" s="710" t="s">
        <v>1353</v>
      </c>
      <c r="B66" s="711" t="s">
        <v>1354</v>
      </c>
      <c r="C66" s="714">
        <f>SUM(C67,C74,C75)</f>
        <v>17257.546964526096</v>
      </c>
      <c r="D66" s="692" t="s">
        <v>1355</v>
      </c>
      <c r="E66" s="462"/>
      <c r="F66" s="537"/>
      <c r="G66" s="537"/>
    </row>
    <row r="67" spans="1:7" x14ac:dyDescent="0.25">
      <c r="A67" s="712" t="s">
        <v>1356</v>
      </c>
      <c r="B67" s="14" t="s">
        <v>1357</v>
      </c>
      <c r="C67" s="715">
        <f>SUM(C68:C73)</f>
        <v>12936.616515068317</v>
      </c>
      <c r="D67" s="692" t="s">
        <v>1358</v>
      </c>
      <c r="E67" s="462"/>
      <c r="F67" s="537"/>
      <c r="G67" s="537"/>
    </row>
    <row r="68" spans="1:7" x14ac:dyDescent="0.25">
      <c r="A68" s="695" t="s">
        <v>1359</v>
      </c>
      <c r="B68" s="38" t="s">
        <v>1360</v>
      </c>
      <c r="C68" s="274">
        <v>0</v>
      </c>
      <c r="D68" s="692"/>
      <c r="E68" s="462"/>
      <c r="F68" s="537"/>
      <c r="G68" s="537"/>
    </row>
    <row r="69" spans="1:7" x14ac:dyDescent="0.25">
      <c r="A69" s="695" t="s">
        <v>1361</v>
      </c>
      <c r="B69" s="17" t="s">
        <v>1362</v>
      </c>
      <c r="C69" s="274">
        <v>0</v>
      </c>
      <c r="D69" s="692"/>
      <c r="E69" s="462"/>
      <c r="F69" s="537"/>
      <c r="G69" s="537"/>
    </row>
    <row r="70" spans="1:7" x14ac:dyDescent="0.25">
      <c r="A70" s="695" t="s">
        <v>1363</v>
      </c>
      <c r="B70" s="17" t="s">
        <v>1364</v>
      </c>
      <c r="C70" s="274">
        <v>0</v>
      </c>
      <c r="D70" s="692"/>
      <c r="E70" s="462"/>
      <c r="F70" s="537"/>
      <c r="G70" s="537"/>
    </row>
    <row r="71" spans="1:7" x14ac:dyDescent="0.25">
      <c r="A71" s="695" t="s">
        <v>1365</v>
      </c>
      <c r="B71" s="17" t="s">
        <v>1366</v>
      </c>
      <c r="C71" s="705">
        <v>0</v>
      </c>
      <c r="D71" s="692"/>
      <c r="E71" s="462"/>
      <c r="F71" s="537"/>
      <c r="G71" s="537"/>
    </row>
    <row r="72" spans="1:7" x14ac:dyDescent="0.25">
      <c r="A72" s="695" t="s">
        <v>1367</v>
      </c>
      <c r="B72" s="17" t="s">
        <v>1368</v>
      </c>
      <c r="C72" s="705">
        <v>0</v>
      </c>
      <c r="D72" s="692"/>
      <c r="E72" s="462"/>
      <c r="F72" s="537"/>
      <c r="G72" s="537"/>
    </row>
    <row r="73" spans="1:7" x14ac:dyDescent="0.25">
      <c r="A73" s="695" t="s">
        <v>1369</v>
      </c>
      <c r="B73" s="17" t="s">
        <v>1370</v>
      </c>
      <c r="C73" s="705">
        <f>'Forma 3'!VAS003_F_UkioSubjektoTiesioginesVIIKitosVeiklos</f>
        <v>12936.616515068317</v>
      </c>
      <c r="D73" s="692"/>
      <c r="E73" s="462"/>
      <c r="F73" s="537"/>
      <c r="G73" s="537"/>
    </row>
    <row r="74" spans="1:7" x14ac:dyDescent="0.25">
      <c r="A74" s="712" t="s">
        <v>1371</v>
      </c>
      <c r="B74" s="14" t="s">
        <v>1372</v>
      </c>
      <c r="C74" s="716">
        <f>'Forma 3'!VAS003_F_NetiesioginiuVeiklosSanauduVIIKitosVeiklos</f>
        <v>3581.8742945353551</v>
      </c>
      <c r="D74" s="692" t="s">
        <v>1373</v>
      </c>
      <c r="E74" s="462"/>
      <c r="F74" s="537"/>
      <c r="G74" s="537"/>
    </row>
    <row r="75" spans="1:7" x14ac:dyDescent="0.25">
      <c r="A75" s="712" t="s">
        <v>1374</v>
      </c>
      <c r="B75" s="14" t="s">
        <v>1375</v>
      </c>
      <c r="C75" s="716">
        <f>'Forma 3'!VAS003_F_BendrujuadministraciniuVeiklosVIIKitosVeiklos</f>
        <v>739.05615492242032</v>
      </c>
      <c r="D75" s="692" t="s">
        <v>1376</v>
      </c>
      <c r="E75" s="462"/>
      <c r="F75" s="537"/>
      <c r="G75" s="537"/>
    </row>
    <row r="76" spans="1:7" x14ac:dyDescent="0.25">
      <c r="A76" s="708" t="s">
        <v>1377</v>
      </c>
      <c r="B76" s="27" t="s">
        <v>1378</v>
      </c>
      <c r="C76" s="702">
        <f>C77-C84</f>
        <v>-45.530560000000008</v>
      </c>
      <c r="D76" s="692"/>
      <c r="E76" s="462"/>
      <c r="F76" s="537"/>
      <c r="G76" s="537"/>
    </row>
    <row r="77" spans="1:7" x14ac:dyDescent="0.25">
      <c r="A77" s="710" t="s">
        <v>1379</v>
      </c>
      <c r="B77" s="711" t="s">
        <v>1380</v>
      </c>
      <c r="C77" s="714">
        <f>SUM(C78:C82)</f>
        <v>4.1103500000000004</v>
      </c>
      <c r="D77" s="692"/>
      <c r="E77" s="462"/>
      <c r="F77" s="537"/>
      <c r="G77" s="537"/>
    </row>
    <row r="78" spans="1:7" x14ac:dyDescent="0.25">
      <c r="A78" s="717" t="s">
        <v>1381</v>
      </c>
      <c r="B78" s="17" t="s">
        <v>1382</v>
      </c>
      <c r="C78" s="718">
        <v>0</v>
      </c>
      <c r="D78" s="692"/>
      <c r="E78" s="462"/>
      <c r="F78" s="537"/>
      <c r="G78" s="537"/>
    </row>
    <row r="79" spans="1:7" x14ac:dyDescent="0.25">
      <c r="A79" s="717" t="s">
        <v>1383</v>
      </c>
      <c r="B79" s="17" t="s">
        <v>1384</v>
      </c>
      <c r="C79" s="718">
        <v>0</v>
      </c>
      <c r="D79" s="692"/>
      <c r="E79" s="462"/>
      <c r="F79" s="537"/>
      <c r="G79" s="537"/>
    </row>
    <row r="80" spans="1:7" x14ac:dyDescent="0.25">
      <c r="A80" s="717" t="s">
        <v>1385</v>
      </c>
      <c r="B80" s="17" t="s">
        <v>1386</v>
      </c>
      <c r="C80" s="718">
        <v>0</v>
      </c>
      <c r="D80" s="692"/>
      <c r="E80" s="462"/>
      <c r="F80" s="537"/>
      <c r="G80" s="537"/>
    </row>
    <row r="81" spans="1:7" x14ac:dyDescent="0.25">
      <c r="A81" s="717" t="s">
        <v>1387</v>
      </c>
      <c r="B81" s="17" t="s">
        <v>1388</v>
      </c>
      <c r="C81" s="718">
        <v>0</v>
      </c>
      <c r="D81" s="692"/>
      <c r="E81" s="462"/>
      <c r="F81" s="537"/>
      <c r="G81" s="537"/>
    </row>
    <row r="82" spans="1:7" x14ac:dyDescent="0.25">
      <c r="A82" s="717" t="s">
        <v>1389</v>
      </c>
      <c r="B82" s="719" t="s">
        <v>1390</v>
      </c>
      <c r="C82" s="718">
        <f>'[2]12'!$H$9</f>
        <v>4.1103500000000004</v>
      </c>
      <c r="D82" s="692"/>
      <c r="E82" s="462"/>
      <c r="F82" s="537"/>
      <c r="G82" s="537"/>
    </row>
    <row r="83" spans="1:7" x14ac:dyDescent="0.25">
      <c r="A83" s="720" t="s">
        <v>1391</v>
      </c>
      <c r="B83" s="721" t="s">
        <v>1392</v>
      </c>
      <c r="C83" s="722">
        <v>0</v>
      </c>
      <c r="D83" s="692"/>
      <c r="E83" s="462"/>
      <c r="F83" s="537"/>
      <c r="G83" s="537"/>
    </row>
    <row r="84" spans="1:7" x14ac:dyDescent="0.25">
      <c r="A84" s="710" t="s">
        <v>1393</v>
      </c>
      <c r="B84" s="723" t="s">
        <v>1394</v>
      </c>
      <c r="C84" s="714">
        <f>SUM(C85,C88,C89,C90)</f>
        <v>49.640910000000005</v>
      </c>
      <c r="D84" s="692"/>
      <c r="E84" s="462"/>
      <c r="F84" s="537"/>
      <c r="G84" s="537"/>
    </row>
    <row r="85" spans="1:7" x14ac:dyDescent="0.25">
      <c r="A85" s="720" t="s">
        <v>1395</v>
      </c>
      <c r="B85" s="724" t="s">
        <v>1396</v>
      </c>
      <c r="C85" s="716">
        <v>0</v>
      </c>
      <c r="D85" s="692"/>
      <c r="E85" s="462"/>
      <c r="F85" s="537"/>
      <c r="G85" s="537"/>
    </row>
    <row r="86" spans="1:7" x14ac:dyDescent="0.25">
      <c r="A86" s="720" t="s">
        <v>1397</v>
      </c>
      <c r="B86" s="725" t="s">
        <v>1398</v>
      </c>
      <c r="C86" s="705">
        <v>0</v>
      </c>
      <c r="D86" s="692"/>
      <c r="E86" s="462"/>
      <c r="F86" s="537"/>
      <c r="G86" s="537"/>
    </row>
    <row r="87" spans="1:7" x14ac:dyDescent="0.25">
      <c r="A87" s="720" t="s">
        <v>1399</v>
      </c>
      <c r="B87" s="725" t="s">
        <v>1400</v>
      </c>
      <c r="C87" s="705">
        <v>0</v>
      </c>
      <c r="D87" s="692"/>
      <c r="E87" s="462"/>
      <c r="F87" s="537"/>
      <c r="G87" s="537"/>
    </row>
    <row r="88" spans="1:7" x14ac:dyDescent="0.25">
      <c r="A88" s="720" t="s">
        <v>1401</v>
      </c>
      <c r="B88" s="724" t="s">
        <v>1402</v>
      </c>
      <c r="C88" s="705">
        <f>'Forma 13'!VAS013_F_AdministracineseIrNetiesioginese20M</f>
        <v>49.633430000000004</v>
      </c>
      <c r="D88" s="692"/>
      <c r="E88" s="462"/>
      <c r="F88" s="537"/>
      <c r="G88" s="537"/>
    </row>
    <row r="89" spans="1:7" x14ac:dyDescent="0.25">
      <c r="A89" s="720" t="s">
        <v>1403</v>
      </c>
      <c r="B89" s="724" t="s">
        <v>1404</v>
      </c>
      <c r="C89" s="705">
        <f>'Forma 13'!VAS013_F_BauduIrDelspinigiu20M</f>
        <v>7.4800000000000005E-3</v>
      </c>
      <c r="D89" s="692"/>
      <c r="E89" s="462"/>
      <c r="F89" s="537"/>
      <c r="G89" s="537"/>
    </row>
    <row r="90" spans="1:7" x14ac:dyDescent="0.25">
      <c r="A90" s="720" t="s">
        <v>1405</v>
      </c>
      <c r="B90" s="724" t="s">
        <v>1406</v>
      </c>
      <c r="C90" s="705">
        <v>0</v>
      </c>
      <c r="D90" s="692"/>
      <c r="E90" s="462"/>
      <c r="F90" s="537"/>
      <c r="G90" s="537"/>
    </row>
    <row r="91" spans="1:7" x14ac:dyDescent="0.25">
      <c r="A91" s="720" t="s">
        <v>1407</v>
      </c>
      <c r="B91" s="726" t="s">
        <v>1408</v>
      </c>
      <c r="C91" s="727">
        <v>0</v>
      </c>
      <c r="D91" s="692"/>
      <c r="E91" s="462"/>
      <c r="F91" s="537"/>
      <c r="G91" s="537"/>
    </row>
    <row r="92" spans="1:7" ht="31.5" x14ac:dyDescent="0.25">
      <c r="A92" s="212" t="s">
        <v>1409</v>
      </c>
      <c r="B92" s="728" t="s">
        <v>1410</v>
      </c>
      <c r="C92" s="706">
        <f>'Forma 13'!VAS013_F_NEPASKIRSTYTINOSSANAUDOS20M-'Forma 13'!VAS013_F_BauduIrDelspinigiu20M-'Forma 13'!VAS013_F_PalukanuSanaudos20M-'Forma 13'!VAS013_F_KitosReguliuojamosVeiklosTiesiogines20M-'Forma 13'!VAS013_F_KitosReguliuojamosVeiklosNetiesiogines20M</f>
        <v>138.94170314278017</v>
      </c>
      <c r="D92" s="707" t="s">
        <v>1411</v>
      </c>
      <c r="E92" s="462"/>
      <c r="F92" s="537"/>
      <c r="G92" s="537"/>
    </row>
    <row r="93" spans="1:7" x14ac:dyDescent="0.25">
      <c r="A93" s="708" t="s">
        <v>1412</v>
      </c>
      <c r="B93" s="728" t="s">
        <v>1413</v>
      </c>
      <c r="C93" s="702">
        <f>C94-C95</f>
        <v>0</v>
      </c>
      <c r="D93" s="692"/>
      <c r="E93" s="462"/>
      <c r="F93" s="537"/>
      <c r="G93" s="537"/>
    </row>
    <row r="94" spans="1:7" x14ac:dyDescent="0.25">
      <c r="A94" s="712" t="s">
        <v>1414</v>
      </c>
      <c r="B94" s="725" t="s">
        <v>1415</v>
      </c>
      <c r="C94" s="729">
        <v>0</v>
      </c>
      <c r="D94" s="692"/>
      <c r="E94" s="462"/>
      <c r="F94" s="537"/>
      <c r="G94" s="537"/>
    </row>
    <row r="95" spans="1:7" x14ac:dyDescent="0.25">
      <c r="A95" s="712" t="s">
        <v>1416</v>
      </c>
      <c r="B95" s="725" t="s">
        <v>1417</v>
      </c>
      <c r="C95" s="729">
        <v>0</v>
      </c>
      <c r="D95" s="692"/>
      <c r="E95" s="462"/>
      <c r="F95" s="537"/>
      <c r="G95" s="537"/>
    </row>
    <row r="96" spans="1:7" x14ac:dyDescent="0.25">
      <c r="A96" s="708" t="s">
        <v>1418</v>
      </c>
      <c r="B96" s="730" t="s">
        <v>1419</v>
      </c>
      <c r="C96" s="702">
        <f>C38+C39+C45+C76-C92+C93</f>
        <v>1356.0894800000001</v>
      </c>
      <c r="D96" s="692" t="s">
        <v>1420</v>
      </c>
      <c r="E96" s="462"/>
      <c r="F96" s="537"/>
      <c r="G96" s="537"/>
    </row>
    <row r="97" spans="1:7" ht="15.75" thickBot="1" x14ac:dyDescent="0.3">
      <c r="A97" s="601" t="s">
        <v>1421</v>
      </c>
      <c r="B97" s="731" t="s">
        <v>1422</v>
      </c>
      <c r="C97" s="732">
        <f>'[2]12'!$I$72-'[2]12'!$I$75</f>
        <v>1204.1025500000023</v>
      </c>
      <c r="D97" s="733"/>
      <c r="E97" s="462"/>
      <c r="F97" s="537"/>
      <c r="G97" s="537"/>
    </row>
    <row r="98" spans="1:7" x14ac:dyDescent="0.25">
      <c r="A98" s="532"/>
      <c r="B98" s="534"/>
      <c r="C98" s="534"/>
      <c r="D98" s="461"/>
      <c r="E98" s="462"/>
      <c r="F98" s="537"/>
      <c r="G98" s="537"/>
    </row>
    <row r="99" spans="1:7" x14ac:dyDescent="0.25">
      <c r="A99" s="535"/>
      <c r="B99" s="536"/>
      <c r="C99" s="536"/>
      <c r="D99" s="3"/>
      <c r="E99" s="537"/>
      <c r="F99" s="537"/>
      <c r="G99" s="537"/>
    </row>
    <row r="100" spans="1:7" ht="15.75" customHeight="1" x14ac:dyDescent="0.25">
      <c r="A100" s="734"/>
      <c r="B100" s="734"/>
      <c r="C100" s="734"/>
      <c r="D100" s="734"/>
      <c r="E100" s="684"/>
      <c r="F100" s="3"/>
      <c r="G100" s="3"/>
    </row>
    <row r="101" spans="1:7" ht="15" customHeight="1" x14ac:dyDescent="0.25">
      <c r="A101" s="734"/>
      <c r="B101" s="734"/>
      <c r="C101" s="734"/>
      <c r="D101" s="734"/>
      <c r="E101" s="206"/>
      <c r="F101" s="3"/>
      <c r="G101" s="3"/>
    </row>
    <row r="102" spans="1:7" x14ac:dyDescent="0.25">
      <c r="A102" s="535"/>
      <c r="B102" s="536"/>
      <c r="C102" s="536"/>
      <c r="D102" s="3"/>
      <c r="E102" s="537"/>
      <c r="F102" s="537"/>
      <c r="G102" s="537"/>
    </row>
    <row r="103" spans="1:7" x14ac:dyDescent="0.25">
      <c r="A103" s="535"/>
      <c r="B103" s="536"/>
      <c r="C103" s="536"/>
      <c r="D103" s="3"/>
      <c r="E103" s="537"/>
      <c r="F103" s="537"/>
      <c r="G103" s="537"/>
    </row>
  </sheetData>
  <sheetProtection algorithmName="SHA-512" hashValue="/ElLNS0z1KaXFtbgAMD3BLqWNZxDctBcLngUqAA7VnIEQdc/jnwMF9HIIfo+oDGci//kHMezcI9Vo5I0BXa47w==" saltValue="sgqP3q04nfT7agbOgnrocL7kubvwGRGAeiMpz6CL39v3VedeKDGeyP9L5zyYZuyVjOzMm8jPO7d2x+EZm6t7Gg==" spinCount="100000" sheet="1" objects="1" scenarios="1"/>
  <mergeCells count="5">
    <mergeCell ref="B8:D8"/>
    <mergeCell ref="A1:D1"/>
    <mergeCell ref="A2:D2"/>
    <mergeCell ref="A3:D3"/>
    <mergeCell ref="A5:D5"/>
  </mergeCells>
  <printOptions horizontalCentered="1"/>
  <pageMargins left="0.39370078740157483" right="0.19685039370078741" top="0.19685039370078741" bottom="0.19685039370078741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29"/>
  <sheetViews>
    <sheetView workbookViewId="0">
      <selection activeCell="C26" sqref="C26"/>
    </sheetView>
  </sheetViews>
  <sheetFormatPr defaultRowHeight="15" x14ac:dyDescent="0.25"/>
  <cols>
    <col min="1" max="1" width="9.140625" style="2"/>
    <col min="2" max="2" width="4.5703125" style="2" customWidth="1"/>
    <col min="3" max="3" width="45.85546875" style="2" customWidth="1"/>
    <col min="4" max="4" width="10" style="2" customWidth="1"/>
    <col min="5" max="5" width="14.7109375" style="2" customWidth="1"/>
    <col min="6" max="6" width="13.28515625" style="2" customWidth="1"/>
    <col min="7" max="7" width="14.5703125" style="2" customWidth="1"/>
    <col min="8" max="8" width="10" style="2" customWidth="1"/>
    <col min="9" max="9" width="9.42578125" style="2" customWidth="1"/>
    <col min="10" max="10" width="10.42578125" style="2" customWidth="1"/>
    <col min="11" max="12" width="9.140625" style="2"/>
    <col min="13" max="13" width="11" style="2" customWidth="1"/>
    <col min="14" max="15" width="13.85546875" style="2" customWidth="1"/>
    <col min="16" max="16" width="12.28515625" style="2" customWidth="1"/>
    <col min="17" max="17" width="14.28515625" style="2" customWidth="1"/>
    <col min="18" max="18" width="16.28515625" style="2" customWidth="1"/>
    <col min="19" max="19" width="9.140625" style="2"/>
    <col min="20" max="20" width="23.28515625" style="2" customWidth="1"/>
    <col min="21" max="16384" width="9.140625" style="2"/>
  </cols>
  <sheetData>
    <row r="1" spans="1:24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9"/>
    </row>
    <row r="2" spans="1:24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9"/>
    </row>
    <row r="3" spans="1:24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2"/>
    </row>
    <row r="4" spans="1:24" customForma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24" customFormat="1" x14ac:dyDescent="0.25">
      <c r="A5" s="1003" t="s">
        <v>1423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5"/>
    </row>
    <row r="6" spans="1:24" customFormat="1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8" spans="1:24" customFormat="1" ht="15.75" customHeight="1" thickBot="1" x14ac:dyDescent="0.3">
      <c r="A8" s="3"/>
      <c r="B8" s="582"/>
      <c r="C8" s="684"/>
      <c r="D8" s="684"/>
      <c r="E8" s="684"/>
      <c r="F8" s="684"/>
      <c r="G8" s="684"/>
      <c r="H8" s="684"/>
      <c r="I8" s="684"/>
      <c r="J8" s="684"/>
      <c r="K8" s="3"/>
      <c r="L8" s="1116" t="s">
        <v>1424</v>
      </c>
      <c r="M8" s="1116"/>
      <c r="N8" s="1116"/>
      <c r="O8" s="1116"/>
      <c r="P8" s="1116"/>
      <c r="Q8" s="1116"/>
      <c r="R8" s="1116"/>
      <c r="S8" s="3"/>
      <c r="T8" s="3"/>
      <c r="U8" s="3"/>
      <c r="V8" s="3"/>
      <c r="W8" s="3"/>
      <c r="X8" s="3"/>
    </row>
    <row r="9" spans="1:24" customFormat="1" ht="15" customHeight="1" x14ac:dyDescent="0.25">
      <c r="A9" s="537"/>
      <c r="B9" s="1037" t="s">
        <v>4</v>
      </c>
      <c r="C9" s="1128" t="s">
        <v>5</v>
      </c>
      <c r="D9" s="1058" t="s">
        <v>160</v>
      </c>
      <c r="E9" s="1040" t="s">
        <v>783</v>
      </c>
      <c r="F9" s="1037" t="s">
        <v>1425</v>
      </c>
      <c r="G9" s="1124" t="s">
        <v>854</v>
      </c>
      <c r="H9" s="1125"/>
      <c r="I9" s="1125"/>
      <c r="J9" s="1125"/>
      <c r="K9" s="1125"/>
      <c r="L9" s="1125"/>
      <c r="M9" s="1125"/>
      <c r="N9" s="1125"/>
      <c r="O9" s="1126"/>
      <c r="P9" s="1037" t="s">
        <v>786</v>
      </c>
      <c r="Q9" s="1040" t="s">
        <v>787</v>
      </c>
      <c r="R9" s="1117" t="s">
        <v>492</v>
      </c>
      <c r="S9" s="537"/>
      <c r="T9" s="537"/>
      <c r="U9" s="537"/>
      <c r="V9" s="537"/>
      <c r="W9" s="537"/>
      <c r="X9" s="537"/>
    </row>
    <row r="10" spans="1:24" customFormat="1" ht="15" customHeight="1" x14ac:dyDescent="0.25">
      <c r="A10" s="537"/>
      <c r="B10" s="1038"/>
      <c r="C10" s="1129"/>
      <c r="D10" s="1059"/>
      <c r="E10" s="1041"/>
      <c r="F10" s="1038"/>
      <c r="G10" s="1046" t="s">
        <v>855</v>
      </c>
      <c r="H10" s="1050" t="s">
        <v>789</v>
      </c>
      <c r="I10" s="1051"/>
      <c r="J10" s="1120"/>
      <c r="K10" s="1050" t="s">
        <v>790</v>
      </c>
      <c r="L10" s="1051"/>
      <c r="M10" s="1051"/>
      <c r="N10" s="1051"/>
      <c r="O10" s="1052"/>
      <c r="P10" s="1038"/>
      <c r="Q10" s="1041"/>
      <c r="R10" s="1118"/>
      <c r="S10" s="537"/>
      <c r="T10" s="537"/>
      <c r="U10" s="537"/>
      <c r="V10" s="537"/>
      <c r="W10" s="537"/>
      <c r="X10" s="537"/>
    </row>
    <row r="11" spans="1:24" customFormat="1" ht="32.25" customHeight="1" x14ac:dyDescent="0.25">
      <c r="A11" s="537"/>
      <c r="B11" s="1038"/>
      <c r="C11" s="1129"/>
      <c r="D11" s="1059"/>
      <c r="E11" s="1041"/>
      <c r="F11" s="1038"/>
      <c r="G11" s="1047"/>
      <c r="H11" s="1121"/>
      <c r="I11" s="1122"/>
      <c r="J11" s="1123"/>
      <c r="K11" s="1121"/>
      <c r="L11" s="1122"/>
      <c r="M11" s="1122"/>
      <c r="N11" s="1122"/>
      <c r="O11" s="1127"/>
      <c r="P11" s="1038"/>
      <c r="Q11" s="1041"/>
      <c r="R11" s="1118"/>
      <c r="S11" s="537"/>
      <c r="T11" s="537"/>
      <c r="U11" s="537"/>
      <c r="V11" s="537"/>
      <c r="W11" s="537"/>
      <c r="X11" s="537"/>
    </row>
    <row r="12" spans="1:24" customFormat="1" ht="92.25" customHeight="1" thickBot="1" x14ac:dyDescent="0.3">
      <c r="A12" s="537"/>
      <c r="B12" s="1039"/>
      <c r="C12" s="1130"/>
      <c r="D12" s="1060"/>
      <c r="E12" s="1042"/>
      <c r="F12" s="1039"/>
      <c r="G12" s="1048"/>
      <c r="H12" s="463" t="s">
        <v>791</v>
      </c>
      <c r="I12" s="463" t="s">
        <v>792</v>
      </c>
      <c r="J12" s="463" t="s">
        <v>793</v>
      </c>
      <c r="K12" s="463" t="s">
        <v>794</v>
      </c>
      <c r="L12" s="463" t="s">
        <v>795</v>
      </c>
      <c r="M12" s="463" t="s">
        <v>796</v>
      </c>
      <c r="N12" s="464" t="s">
        <v>861</v>
      </c>
      <c r="O12" s="735" t="s">
        <v>862</v>
      </c>
      <c r="P12" s="1039"/>
      <c r="Q12" s="1042"/>
      <c r="R12" s="1119"/>
      <c r="S12" s="537"/>
      <c r="T12" s="537"/>
      <c r="U12" s="537"/>
      <c r="V12" s="537"/>
      <c r="W12" s="537"/>
      <c r="X12" s="537"/>
    </row>
    <row r="13" spans="1:24" customFormat="1" x14ac:dyDescent="0.25">
      <c r="A13" s="537"/>
      <c r="B13" s="541">
        <v>1</v>
      </c>
      <c r="C13" s="53">
        <v>2</v>
      </c>
      <c r="D13" s="53">
        <v>3</v>
      </c>
      <c r="E13" s="542">
        <v>4</v>
      </c>
      <c r="F13" s="736">
        <v>5</v>
      </c>
      <c r="G13" s="737">
        <v>6</v>
      </c>
      <c r="H13" s="737">
        <v>7</v>
      </c>
      <c r="I13" s="737">
        <v>8</v>
      </c>
      <c r="J13" s="53">
        <v>9</v>
      </c>
      <c r="K13" s="737">
        <v>10</v>
      </c>
      <c r="L13" s="738">
        <v>11</v>
      </c>
      <c r="M13" s="738">
        <v>12</v>
      </c>
      <c r="N13" s="53">
        <v>13</v>
      </c>
      <c r="O13" s="739">
        <v>14</v>
      </c>
      <c r="P13" s="541">
        <v>15</v>
      </c>
      <c r="Q13" s="739">
        <v>16</v>
      </c>
      <c r="R13" s="687">
        <v>17</v>
      </c>
      <c r="S13" s="537"/>
      <c r="T13" s="537"/>
      <c r="U13" s="537"/>
      <c r="V13" s="537"/>
      <c r="W13" s="537"/>
      <c r="X13" s="537"/>
    </row>
    <row r="14" spans="1:24" customFormat="1" ht="31.5" customHeight="1" x14ac:dyDescent="0.25">
      <c r="A14" s="537"/>
      <c r="B14" s="141" t="s">
        <v>347</v>
      </c>
      <c r="C14" s="740" t="s">
        <v>1426</v>
      </c>
      <c r="D14" s="480" t="s">
        <v>645</v>
      </c>
      <c r="E14" s="741">
        <f>SUM(F14,P14,Q14)</f>
        <v>15299.244325106238</v>
      </c>
      <c r="F14" s="742">
        <f>SUM(G14:O14)</f>
        <v>2362.6278100379204</v>
      </c>
      <c r="G14" s="743">
        <v>0</v>
      </c>
      <c r="H14" s="744">
        <v>0</v>
      </c>
      <c r="I14" s="744">
        <v>0</v>
      </c>
      <c r="J14" s="744">
        <v>0</v>
      </c>
      <c r="K14" s="744">
        <v>0</v>
      </c>
      <c r="L14" s="745">
        <v>0</v>
      </c>
      <c r="M14" s="744">
        <v>0</v>
      </c>
      <c r="N14" s="743">
        <f>'[2]12'!$D$70</f>
        <v>2362.6278100379204</v>
      </c>
      <c r="O14" s="746">
        <v>0</v>
      </c>
      <c r="P14" s="747">
        <v>0</v>
      </c>
      <c r="Q14" s="231">
        <f>'[2]12'!E70</f>
        <v>12936.616515068317</v>
      </c>
      <c r="R14" s="748" t="s">
        <v>1427</v>
      </c>
      <c r="S14" s="537"/>
      <c r="T14" s="537"/>
      <c r="U14" s="537"/>
      <c r="V14" s="537"/>
      <c r="W14" s="537"/>
      <c r="X14" s="537"/>
    </row>
    <row r="15" spans="1:24" customFormat="1" ht="45" customHeight="1" x14ac:dyDescent="0.25">
      <c r="A15" s="537"/>
      <c r="B15" s="57" t="s">
        <v>351</v>
      </c>
      <c r="C15" s="486" t="s">
        <v>1428</v>
      </c>
      <c r="D15" s="480" t="s">
        <v>645</v>
      </c>
      <c r="E15" s="741">
        <f>SUM(F15,P15,Q15)</f>
        <v>4122.1192424509809</v>
      </c>
      <c r="F15" s="742">
        <f>SUM(G15:O15)</f>
        <v>540.24494791562552</v>
      </c>
      <c r="G15" s="617">
        <f>'Forma 11'!VAS011_F_NetiesioginiuVeiklosSanauduIAtsiskaitomujuApskaitos</f>
        <v>0</v>
      </c>
      <c r="H15" s="617">
        <f>'Forma 11'!VAS011_F_NetiesioginiuVeiklosSanauduII1gavyba</f>
        <v>0</v>
      </c>
      <c r="I15" s="617">
        <f>'Forma 11'!VAS011_F_NetiesioginiuVeiklosSanauduII2ruosimas</f>
        <v>0</v>
      </c>
      <c r="J15" s="617">
        <f>'Forma 11'!VAS011_F_NetiesioginiuVeiklosSanauduII3pristatymas</f>
        <v>0</v>
      </c>
      <c r="K15" s="617">
        <f>'Forma 11'!VAS011_F_NetiesioginiuVeiklosSanauduIII1surinkimas</f>
        <v>0</v>
      </c>
      <c r="L15" s="617">
        <f>'Forma 11'!VAS011_F_NetiesioginiuVeiklosSanauduIII2valymas</f>
        <v>0</v>
      </c>
      <c r="M15" s="617">
        <f>'Forma 11'!VAS011_F_NetiesioginiuVeiklosSanauduIII3nuotekuDumblo</f>
        <v>0</v>
      </c>
      <c r="N15" s="617">
        <f>'Forma 11'!VAS011_F_NetiesioginiuVeiklosSanauduIVPavirsiniuNuoteku</f>
        <v>540.24494791562552</v>
      </c>
      <c r="O15" s="275">
        <f>'Forma 11'!VAS011_F_NetiesioginiuVeiklosSanauduVNuotekuTransportavimas</f>
        <v>0</v>
      </c>
      <c r="P15" s="749">
        <f>'Forma 11'!VAS011_F_NetiesioginiuVeiklosSanauduVIKitosReguliuojamos</f>
        <v>0</v>
      </c>
      <c r="Q15" s="239">
        <f>'Forma 11'!VAS011_F_NetiesioginiuVeiklosSanauduVIIKitosVeiklos</f>
        <v>3581.8742945353551</v>
      </c>
      <c r="R15" s="750" t="s">
        <v>1429</v>
      </c>
      <c r="S15" s="537"/>
      <c r="T15" s="537"/>
      <c r="U15" s="537"/>
      <c r="V15" s="537"/>
      <c r="W15" s="537"/>
      <c r="X15" s="537"/>
    </row>
    <row r="16" spans="1:24" customFormat="1" ht="47.25" customHeight="1" x14ac:dyDescent="0.25">
      <c r="A16" s="537"/>
      <c r="B16" s="57" t="s">
        <v>364</v>
      </c>
      <c r="C16" s="740" t="s">
        <v>1430</v>
      </c>
      <c r="D16" s="480" t="s">
        <v>645</v>
      </c>
      <c r="E16" s="751">
        <f>SUM(E14,E15)</f>
        <v>19421.363567557219</v>
      </c>
      <c r="F16" s="752">
        <f>SUM(F14,F15)</f>
        <v>2902.8727579535462</v>
      </c>
      <c r="G16" s="629">
        <f t="shared" ref="G16:Q16" si="0">SUM(G14,G15)</f>
        <v>0</v>
      </c>
      <c r="H16" s="629">
        <f t="shared" si="0"/>
        <v>0</v>
      </c>
      <c r="I16" s="629">
        <f t="shared" si="0"/>
        <v>0</v>
      </c>
      <c r="J16" s="629">
        <f t="shared" si="0"/>
        <v>0</v>
      </c>
      <c r="K16" s="629">
        <f t="shared" si="0"/>
        <v>0</v>
      </c>
      <c r="L16" s="629">
        <f t="shared" si="0"/>
        <v>0</v>
      </c>
      <c r="M16" s="629">
        <f t="shared" si="0"/>
        <v>0</v>
      </c>
      <c r="N16" s="629">
        <f t="shared" si="0"/>
        <v>2902.8727579535462</v>
      </c>
      <c r="O16" s="753">
        <f t="shared" si="0"/>
        <v>0</v>
      </c>
      <c r="P16" s="752">
        <f t="shared" si="0"/>
        <v>0</v>
      </c>
      <c r="Q16" s="629">
        <f t="shared" si="0"/>
        <v>16518.490809603674</v>
      </c>
      <c r="R16" s="754"/>
      <c r="S16" s="537"/>
      <c r="T16" s="537"/>
      <c r="U16" s="537"/>
      <c r="V16" s="537"/>
      <c r="W16" s="537"/>
      <c r="X16" s="537"/>
    </row>
    <row r="17" spans="1:24" customFormat="1" ht="33" customHeight="1" x14ac:dyDescent="0.25">
      <c r="A17" s="537"/>
      <c r="B17" s="57" t="s">
        <v>169</v>
      </c>
      <c r="C17" s="486" t="s">
        <v>886</v>
      </c>
      <c r="D17" s="755" t="s">
        <v>835</v>
      </c>
      <c r="E17" s="756">
        <f>SUM(F17,P17,Q17)</f>
        <v>100.00000000000001</v>
      </c>
      <c r="F17" s="757">
        <f>SUM(G17:O17)</f>
        <v>14.946801999024952</v>
      </c>
      <c r="G17" s="758">
        <f t="shared" ref="G17:O17" si="1">IF($E$16=0,0,G16/$E$16*100)</f>
        <v>0</v>
      </c>
      <c r="H17" s="759">
        <f t="shared" si="1"/>
        <v>0</v>
      </c>
      <c r="I17" s="759">
        <f t="shared" si="1"/>
        <v>0</v>
      </c>
      <c r="J17" s="759">
        <f t="shared" si="1"/>
        <v>0</v>
      </c>
      <c r="K17" s="759">
        <f t="shared" si="1"/>
        <v>0</v>
      </c>
      <c r="L17" s="759">
        <f t="shared" si="1"/>
        <v>0</v>
      </c>
      <c r="M17" s="759">
        <f t="shared" si="1"/>
        <v>0</v>
      </c>
      <c r="N17" s="759">
        <f t="shared" si="1"/>
        <v>14.946801999024952</v>
      </c>
      <c r="O17" s="758">
        <f t="shared" si="1"/>
        <v>0</v>
      </c>
      <c r="P17" s="760">
        <f t="shared" ref="P17" si="2">IF($E$16=0,0,P16/$E$16*100)</f>
        <v>0</v>
      </c>
      <c r="Q17" s="761">
        <f t="shared" ref="Q17" si="3">IF($E$16=0,0,Q16/$E$16*100)</f>
        <v>85.053198000975058</v>
      </c>
      <c r="R17" s="754"/>
      <c r="S17" s="537"/>
      <c r="T17" s="537"/>
      <c r="U17" s="537"/>
      <c r="V17" s="537"/>
      <c r="W17" s="537"/>
      <c r="X17" s="537"/>
    </row>
    <row r="18" spans="1:24" customFormat="1" ht="48" customHeight="1" x14ac:dyDescent="0.25">
      <c r="A18" s="537"/>
      <c r="B18" s="57" t="s">
        <v>184</v>
      </c>
      <c r="C18" s="486" t="s">
        <v>1431</v>
      </c>
      <c r="D18" s="480" t="s">
        <v>645</v>
      </c>
      <c r="E18" s="751">
        <f>SUM(F18,P18,Q18)</f>
        <v>868.93399930000021</v>
      </c>
      <c r="F18" s="757">
        <f>SUM(G18:O18)</f>
        <v>129.87784437757986</v>
      </c>
      <c r="G18" s="762">
        <f>'Forma 12'!VAS012_F_BendrosiosadministracinesVeiklosIAtsiskaitomujuApskaitos</f>
        <v>0</v>
      </c>
      <c r="H18" s="762">
        <f>'Forma 12'!VAS012_F_BendrosiosadministracinesVeiklosII1Gavyba</f>
        <v>0</v>
      </c>
      <c r="I18" s="762">
        <f>'Forma 12'!VAS012_F_BendrosiosadministracinesVeiklosII2Ruosimas</f>
        <v>0</v>
      </c>
      <c r="J18" s="762">
        <f>'Forma 12'!VAS012_F_BendrosiosadministracinesVeiklosII3Pristatymas</f>
        <v>0</v>
      </c>
      <c r="K18" s="762">
        <f>'Forma 12'!VAS012_F_BendrosiosadministracinesVeiklosIII1surinkimas</f>
        <v>0</v>
      </c>
      <c r="L18" s="762">
        <f>'Forma 12'!VAS012_F_BendrosiosadministracinesVeiklosIII2valymas</f>
        <v>0</v>
      </c>
      <c r="M18" s="762">
        <f>'Forma 12'!VAS012_F_IlgalaikioTurtoNusidevejimoIII3nuotekuDumblo</f>
        <v>0</v>
      </c>
      <c r="N18" s="762">
        <f>'Forma 12'!VAS012_F_BendrosiosadministracinesVeiklosIVPavirsiniuNuoteku</f>
        <v>129.87784437757986</v>
      </c>
      <c r="O18" s="763">
        <f>'Forma 12'!VAS012_F_BendrosiosadministracinesVeiklosVNuotekuTransportavimas</f>
        <v>0</v>
      </c>
      <c r="P18" s="764">
        <f>'Forma 12'!VAS012_F_BendrosiosadministracinesVeiklosVIKitosReguliuojamos</f>
        <v>0</v>
      </c>
      <c r="Q18" s="762">
        <f>'Forma 12'!VAS012_F_BendrosiosadministracinesVeiklosVIIKitosVeiklos</f>
        <v>739.05615492242032</v>
      </c>
      <c r="R18" s="750" t="s">
        <v>1432</v>
      </c>
      <c r="S18" s="537"/>
      <c r="T18" s="537"/>
      <c r="U18" s="537"/>
      <c r="V18" s="537"/>
      <c r="W18" s="537"/>
      <c r="X18" s="537"/>
    </row>
    <row r="19" spans="1:24" customFormat="1" x14ac:dyDescent="0.25">
      <c r="A19" s="537"/>
      <c r="B19" s="238" t="s">
        <v>195</v>
      </c>
      <c r="C19" s="765" t="s">
        <v>1433</v>
      </c>
      <c r="D19" s="480" t="s">
        <v>645</v>
      </c>
      <c r="E19" s="751">
        <f>SUM(E14,E15,E18)</f>
        <v>20290.297566857218</v>
      </c>
      <c r="F19" s="752">
        <f>SUM(F14,F15,F18)</f>
        <v>3032.7506023311262</v>
      </c>
      <c r="G19" s="629">
        <f t="shared" ref="G19:Q19" si="4">SUM(G14,G15,G18)</f>
        <v>0</v>
      </c>
      <c r="H19" s="629">
        <f t="shared" si="4"/>
        <v>0</v>
      </c>
      <c r="I19" s="629">
        <f t="shared" si="4"/>
        <v>0</v>
      </c>
      <c r="J19" s="629">
        <f t="shared" si="4"/>
        <v>0</v>
      </c>
      <c r="K19" s="629">
        <f t="shared" si="4"/>
        <v>0</v>
      </c>
      <c r="L19" s="629">
        <f t="shared" si="4"/>
        <v>0</v>
      </c>
      <c r="M19" s="629">
        <f t="shared" si="4"/>
        <v>0</v>
      </c>
      <c r="N19" s="629">
        <f t="shared" si="4"/>
        <v>3032.7506023311262</v>
      </c>
      <c r="O19" s="753">
        <f t="shared" si="4"/>
        <v>0</v>
      </c>
      <c r="P19" s="752">
        <f t="shared" si="4"/>
        <v>0</v>
      </c>
      <c r="Q19" s="629">
        <f t="shared" si="4"/>
        <v>17257.546964526096</v>
      </c>
      <c r="R19" s="754"/>
      <c r="S19" s="537"/>
      <c r="T19" s="537"/>
      <c r="U19" s="537"/>
      <c r="V19" s="537"/>
      <c r="W19" s="537"/>
      <c r="X19" s="537"/>
    </row>
    <row r="20" spans="1:24" customFormat="1" ht="56.25" x14ac:dyDescent="0.25">
      <c r="A20" s="537"/>
      <c r="B20" s="212" t="s">
        <v>203</v>
      </c>
      <c r="C20" s="766" t="s">
        <v>1434</v>
      </c>
      <c r="D20" s="480" t="s">
        <v>645</v>
      </c>
      <c r="E20" s="767">
        <f>SUM(F20,P20,Q20)</f>
        <v>21830.859310000003</v>
      </c>
      <c r="F20" s="768">
        <f>SUM(G20:O20)</f>
        <v>2862.3857427390421</v>
      </c>
      <c r="G20" s="769">
        <v>0</v>
      </c>
      <c r="H20" s="1110">
        <v>0</v>
      </c>
      <c r="I20" s="1111"/>
      <c r="J20" s="1112"/>
      <c r="K20" s="770">
        <v>0</v>
      </c>
      <c r="L20" s="770">
        <v>0</v>
      </c>
      <c r="M20" s="770">
        <v>0</v>
      </c>
      <c r="N20" s="770">
        <f>'[2]12'!$D$10</f>
        <v>2862.3857427390421</v>
      </c>
      <c r="O20" s="771">
        <v>0</v>
      </c>
      <c r="P20" s="772">
        <v>0</v>
      </c>
      <c r="Q20" s="773">
        <f>'[2]12'!$E$10</f>
        <v>18968.47356726096</v>
      </c>
      <c r="R20" s="748" t="s">
        <v>1435</v>
      </c>
      <c r="S20" s="537"/>
      <c r="T20" s="537"/>
      <c r="U20" s="537"/>
      <c r="V20" s="537"/>
      <c r="W20" s="537"/>
      <c r="X20" s="537"/>
    </row>
    <row r="21" spans="1:24" customFormat="1" ht="90" x14ac:dyDescent="0.25">
      <c r="A21" s="537"/>
      <c r="B21" s="238" t="s">
        <v>205</v>
      </c>
      <c r="C21" s="774" t="s">
        <v>1436</v>
      </c>
      <c r="D21" s="480" t="s">
        <v>645</v>
      </c>
      <c r="E21" s="751">
        <f>SUM(F21,P21,Q21)</f>
        <v>0</v>
      </c>
      <c r="F21" s="752">
        <f>SUM(G21:O21)</f>
        <v>0</v>
      </c>
      <c r="G21" s="618">
        <v>0</v>
      </c>
      <c r="H21" s="618">
        <v>0</v>
      </c>
      <c r="I21" s="618">
        <v>0</v>
      </c>
      <c r="J21" s="775">
        <v>0</v>
      </c>
      <c r="K21" s="776">
        <v>0</v>
      </c>
      <c r="L21" s="776">
        <v>0</v>
      </c>
      <c r="M21" s="777">
        <v>0</v>
      </c>
      <c r="N21" s="777">
        <v>0</v>
      </c>
      <c r="O21" s="778">
        <v>0</v>
      </c>
      <c r="P21" s="779">
        <v>0</v>
      </c>
      <c r="Q21" s="780">
        <v>0</v>
      </c>
      <c r="R21" s="748" t="s">
        <v>1437</v>
      </c>
      <c r="S21" s="537"/>
      <c r="T21" s="537"/>
      <c r="U21" s="537"/>
      <c r="V21" s="537"/>
      <c r="W21" s="537"/>
      <c r="X21" s="537"/>
    </row>
    <row r="22" spans="1:24" customFormat="1" ht="15.75" thickBot="1" x14ac:dyDescent="0.3">
      <c r="A22" s="537"/>
      <c r="B22" s="601" t="s">
        <v>207</v>
      </c>
      <c r="C22" s="781" t="s">
        <v>1438</v>
      </c>
      <c r="D22" s="782" t="s">
        <v>645</v>
      </c>
      <c r="E22" s="783">
        <f>SUM(F22,P22,Q22)</f>
        <v>1540.56174314278</v>
      </c>
      <c r="F22" s="784">
        <f>(F20+F21)-F19</f>
        <v>-170.36485959208403</v>
      </c>
      <c r="G22" s="785">
        <f>(G20+G21)-G19</f>
        <v>0</v>
      </c>
      <c r="H22" s="1113">
        <f>(H20+H21+I21+J21)-(H19+I19+J19)</f>
        <v>0</v>
      </c>
      <c r="I22" s="1114"/>
      <c r="J22" s="1115"/>
      <c r="K22" s="785">
        <f t="shared" ref="K22:Q22" si="5">(K20+K21)-K19</f>
        <v>0</v>
      </c>
      <c r="L22" s="785">
        <f t="shared" si="5"/>
        <v>0</v>
      </c>
      <c r="M22" s="785">
        <f t="shared" si="5"/>
        <v>0</v>
      </c>
      <c r="N22" s="785">
        <f t="shared" si="5"/>
        <v>-170.36485959208403</v>
      </c>
      <c r="O22" s="603">
        <f t="shared" si="5"/>
        <v>0</v>
      </c>
      <c r="P22" s="784">
        <f t="shared" si="5"/>
        <v>0</v>
      </c>
      <c r="Q22" s="785">
        <f t="shared" si="5"/>
        <v>1710.926602734864</v>
      </c>
      <c r="R22" s="786" t="s">
        <v>1439</v>
      </c>
      <c r="S22" s="537"/>
      <c r="T22" s="537"/>
      <c r="U22" s="537"/>
      <c r="V22" s="537"/>
      <c r="W22" s="537"/>
      <c r="X22" s="537"/>
    </row>
    <row r="23" spans="1:24" customFormat="1" x14ac:dyDescent="0.25">
      <c r="A23" s="537"/>
      <c r="B23" s="787"/>
      <c r="C23" s="788"/>
      <c r="D23" s="789"/>
      <c r="E23" s="788"/>
      <c r="F23" s="788"/>
      <c r="G23" s="788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1"/>
      <c r="S23" s="537"/>
      <c r="T23" s="537"/>
      <c r="U23" s="537"/>
      <c r="V23" s="537"/>
      <c r="W23" s="537"/>
      <c r="X23" s="537"/>
    </row>
    <row r="24" spans="1:24" customFormat="1" x14ac:dyDescent="0.25">
      <c r="A24" s="537"/>
      <c r="B24" s="787"/>
      <c r="C24" s="788"/>
      <c r="D24" s="789"/>
      <c r="E24" s="788"/>
      <c r="F24" s="788"/>
      <c r="G24" s="788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1"/>
      <c r="S24" s="537"/>
      <c r="T24" s="537"/>
      <c r="U24" s="537"/>
      <c r="V24" s="537"/>
      <c r="W24" s="537"/>
      <c r="X24" s="537"/>
    </row>
    <row r="25" spans="1:24" customFormat="1" x14ac:dyDescent="0.25">
      <c r="A25" s="537"/>
      <c r="B25" s="535"/>
      <c r="C25" s="536"/>
      <c r="D25" s="536"/>
      <c r="E25" s="536"/>
      <c r="F25" s="536"/>
      <c r="G25" s="536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3"/>
      <c r="S25" s="537"/>
      <c r="T25" s="537"/>
      <c r="U25" s="537"/>
      <c r="V25" s="537"/>
      <c r="W25" s="537"/>
      <c r="X25" s="537"/>
    </row>
    <row r="26" spans="1:24" customFormat="1" x14ac:dyDescent="0.25">
      <c r="A26" s="537"/>
      <c r="B26" s="535"/>
      <c r="C26" s="536"/>
      <c r="D26" s="536"/>
      <c r="E26" s="536"/>
      <c r="F26" s="536"/>
      <c r="G26" s="536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3"/>
      <c r="S26" s="537"/>
      <c r="T26" s="537"/>
      <c r="U26" s="537"/>
      <c r="V26" s="537"/>
      <c r="W26" s="537"/>
      <c r="X26" s="537"/>
    </row>
    <row r="27" spans="1:24" customFormat="1" x14ac:dyDescent="0.25">
      <c r="A27" s="537"/>
      <c r="B27" s="535"/>
      <c r="C27" s="536"/>
      <c r="D27" s="536"/>
      <c r="E27" s="536"/>
      <c r="F27" s="536"/>
      <c r="G27" s="536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3"/>
      <c r="S27" s="537"/>
      <c r="T27" s="537"/>
      <c r="U27" s="537"/>
      <c r="V27" s="537"/>
      <c r="W27" s="537"/>
      <c r="X27" s="537"/>
    </row>
    <row r="28" spans="1:24" customFormat="1" x14ac:dyDescent="0.25">
      <c r="A28" s="537"/>
      <c r="B28" s="535"/>
      <c r="C28" s="536"/>
      <c r="D28" s="536"/>
      <c r="E28" s="536"/>
      <c r="F28" s="536"/>
      <c r="G28" s="536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3"/>
      <c r="S28" s="537"/>
      <c r="T28" s="537"/>
      <c r="U28" s="537"/>
      <c r="V28" s="537"/>
      <c r="W28" s="537"/>
      <c r="X28" s="537"/>
    </row>
    <row r="29" spans="1:24" customFormat="1" x14ac:dyDescent="0.25">
      <c r="A29" s="537"/>
      <c r="B29" s="535"/>
      <c r="C29" s="536"/>
      <c r="D29" s="536"/>
      <c r="E29" s="536"/>
      <c r="F29" s="536"/>
      <c r="G29" s="536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3"/>
      <c r="S29" s="537"/>
      <c r="T29" s="537"/>
      <c r="U29" s="537"/>
      <c r="V29" s="537"/>
      <c r="W29" s="537"/>
      <c r="X29" s="537"/>
    </row>
  </sheetData>
  <sheetProtection algorithmName="SHA-512" hashValue="CQJQDhDc6yKpwfSna4bt9fWoytl4xOocgTCyrtIY9ucRAWV+bYEoiIoWSSVjo5iJXs7XvuwR8zF02fDE867sQQ==" saltValue="c7g6/gkltBkcufNi+3B8XZKZDJmr84ffab16GHTTs9BCSalGa/6ik1SwXKUdmzjf9my/Iwvj3vloBsVZ+EJgvw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5"/>
  <sheetViews>
    <sheetView workbookViewId="0">
      <selection activeCell="F10" sqref="F10"/>
    </sheetView>
  </sheetViews>
  <sheetFormatPr defaultRowHeight="15" x14ac:dyDescent="0.2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 x14ac:dyDescent="0.25">
      <c r="A1" s="960" t="s">
        <v>0</v>
      </c>
      <c r="B1" s="961"/>
      <c r="C1" s="961"/>
      <c r="D1" s="962"/>
    </row>
    <row r="2" spans="1:6" x14ac:dyDescent="0.25">
      <c r="A2" s="960" t="s">
        <v>1</v>
      </c>
      <c r="B2" s="961"/>
      <c r="C2" s="961"/>
      <c r="D2" s="962"/>
    </row>
    <row r="3" spans="1:6" x14ac:dyDescent="0.25">
      <c r="A3" s="963"/>
      <c r="B3" s="964"/>
      <c r="C3" s="964"/>
      <c r="D3" s="965"/>
    </row>
    <row r="4" spans="1:6" x14ac:dyDescent="0.25">
      <c r="A4" s="1"/>
      <c r="B4" s="1"/>
      <c r="C4" s="1"/>
      <c r="D4" s="1"/>
    </row>
    <row r="5" spans="1:6" x14ac:dyDescent="0.25">
      <c r="A5" s="966" t="s">
        <v>1440</v>
      </c>
      <c r="B5" s="967"/>
      <c r="C5" s="967"/>
      <c r="D5" s="968"/>
    </row>
    <row r="6" spans="1:6" x14ac:dyDescent="0.25">
      <c r="A6" s="1"/>
      <c r="B6" s="1"/>
      <c r="C6" s="1"/>
      <c r="D6" s="1"/>
    </row>
    <row r="8" spans="1:6" ht="15" customHeight="1" thickBot="1" x14ac:dyDescent="0.3">
      <c r="A8" s="1133" t="s">
        <v>1441</v>
      </c>
      <c r="B8" s="1133"/>
      <c r="C8" s="1133"/>
      <c r="D8" s="1133"/>
    </row>
    <row r="9" spans="1:6" ht="33" customHeight="1" thickBot="1" x14ac:dyDescent="0.3">
      <c r="A9" s="207" t="s">
        <v>4</v>
      </c>
      <c r="B9" s="792" t="s">
        <v>1442</v>
      </c>
      <c r="C9" s="443" t="s">
        <v>160</v>
      </c>
      <c r="D9" s="50" t="s">
        <v>1600</v>
      </c>
      <c r="E9" s="793"/>
      <c r="F9" s="7"/>
    </row>
    <row r="10" spans="1:6" x14ac:dyDescent="0.25">
      <c r="A10" s="794" t="s">
        <v>347</v>
      </c>
      <c r="B10" s="795" t="s">
        <v>1443</v>
      </c>
      <c r="C10" s="796" t="s">
        <v>1444</v>
      </c>
      <c r="D10" s="797">
        <f>SUM(D11,D12,D30)</f>
        <v>250.69393518518515</v>
      </c>
      <c r="E10" s="597"/>
      <c r="F10" s="7"/>
    </row>
    <row r="11" spans="1:6" x14ac:dyDescent="0.25">
      <c r="A11" s="798" t="s">
        <v>285</v>
      </c>
      <c r="B11" s="799" t="s">
        <v>1445</v>
      </c>
      <c r="C11" s="800" t="s">
        <v>1444</v>
      </c>
      <c r="D11" s="801">
        <f>'[3]10F11pr'!D11</f>
        <v>0</v>
      </c>
      <c r="E11" s="597"/>
      <c r="F11" s="7"/>
    </row>
    <row r="12" spans="1:6" x14ac:dyDescent="0.25">
      <c r="A12" s="798" t="s">
        <v>295</v>
      </c>
      <c r="B12" s="802" t="s">
        <v>1446</v>
      </c>
      <c r="C12" s="803" t="s">
        <v>1444</v>
      </c>
      <c r="D12" s="804">
        <f>SUM(D13,D14,D15,D16,D17,D22,D24,D27,D28,D29)</f>
        <v>208.49306317879143</v>
      </c>
      <c r="E12" s="597"/>
      <c r="F12" s="7"/>
    </row>
    <row r="13" spans="1:6" x14ac:dyDescent="0.25">
      <c r="A13" s="497" t="s">
        <v>666</v>
      </c>
      <c r="B13" s="799" t="s">
        <v>1447</v>
      </c>
      <c r="C13" s="800" t="s">
        <v>1444</v>
      </c>
      <c r="D13" s="801">
        <f>'[3]10F11pr'!D13</f>
        <v>0</v>
      </c>
      <c r="E13" s="51"/>
      <c r="F13" s="7"/>
    </row>
    <row r="14" spans="1:6" x14ac:dyDescent="0.25">
      <c r="A14" s="497" t="s">
        <v>668</v>
      </c>
      <c r="B14" s="799" t="s">
        <v>1448</v>
      </c>
      <c r="C14" s="800" t="s">
        <v>1444</v>
      </c>
      <c r="D14" s="801">
        <f>'[3]10F11pr'!D14</f>
        <v>0</v>
      </c>
      <c r="E14" s="51"/>
      <c r="F14" s="7"/>
    </row>
    <row r="15" spans="1:6" x14ac:dyDescent="0.25">
      <c r="A15" s="497" t="s">
        <v>1449</v>
      </c>
      <c r="B15" s="799" t="s">
        <v>1450</v>
      </c>
      <c r="C15" s="800" t="s">
        <v>1444</v>
      </c>
      <c r="D15" s="801">
        <f>'[3]10F11pr'!D15</f>
        <v>0</v>
      </c>
      <c r="E15" s="51"/>
    </row>
    <row r="16" spans="1:6" x14ac:dyDescent="0.25">
      <c r="A16" s="497" t="s">
        <v>1451</v>
      </c>
      <c r="B16" s="799" t="s">
        <v>1452</v>
      </c>
      <c r="C16" s="800" t="s">
        <v>1444</v>
      </c>
      <c r="D16" s="801">
        <f>'[3]10F11pr'!D16</f>
        <v>0</v>
      </c>
      <c r="E16" s="51"/>
    </row>
    <row r="17" spans="1:5" x14ac:dyDescent="0.25">
      <c r="A17" s="497" t="s">
        <v>1453</v>
      </c>
      <c r="B17" s="799" t="s">
        <v>1454</v>
      </c>
      <c r="C17" s="800" t="s">
        <v>1444</v>
      </c>
      <c r="D17" s="805">
        <f>SUM(D19,D20,D21)</f>
        <v>0</v>
      </c>
      <c r="E17" s="597"/>
    </row>
    <row r="18" spans="1:5" x14ac:dyDescent="0.25">
      <c r="A18" s="806" t="s">
        <v>1455</v>
      </c>
      <c r="B18" s="807" t="s">
        <v>1456</v>
      </c>
      <c r="C18" s="800" t="s">
        <v>1444</v>
      </c>
      <c r="D18" s="808">
        <f>'[3]10F11pr'!D18</f>
        <v>0</v>
      </c>
      <c r="E18" s="597"/>
    </row>
    <row r="19" spans="1:5" x14ac:dyDescent="0.25">
      <c r="A19" s="806" t="s">
        <v>1457</v>
      </c>
      <c r="B19" s="799" t="s">
        <v>1458</v>
      </c>
      <c r="C19" s="800" t="s">
        <v>1444</v>
      </c>
      <c r="D19" s="809">
        <f>'[3]10F11pr'!D19</f>
        <v>0</v>
      </c>
      <c r="E19" s="810"/>
    </row>
    <row r="20" spans="1:5" x14ac:dyDescent="0.25">
      <c r="A20" s="806" t="s">
        <v>1459</v>
      </c>
      <c r="B20" s="799" t="s">
        <v>1460</v>
      </c>
      <c r="C20" s="800" t="s">
        <v>1444</v>
      </c>
      <c r="D20" s="809">
        <f>'[3]10F11pr'!D20</f>
        <v>0</v>
      </c>
      <c r="E20" s="810"/>
    </row>
    <row r="21" spans="1:5" x14ac:dyDescent="0.25">
      <c r="A21" s="806" t="s">
        <v>1461</v>
      </c>
      <c r="B21" s="799" t="s">
        <v>1462</v>
      </c>
      <c r="C21" s="800" t="s">
        <v>1444</v>
      </c>
      <c r="D21" s="809">
        <f>'[3]10F11pr'!D21</f>
        <v>0</v>
      </c>
      <c r="E21" s="810"/>
    </row>
    <row r="22" spans="1:5" x14ac:dyDescent="0.25">
      <c r="A22" s="497" t="s">
        <v>1463</v>
      </c>
      <c r="B22" s="799" t="s">
        <v>1464</v>
      </c>
      <c r="C22" s="800" t="s">
        <v>1444</v>
      </c>
      <c r="D22" s="801">
        <f>'[3]10F11pr'!D22</f>
        <v>0</v>
      </c>
      <c r="E22" s="51"/>
    </row>
    <row r="23" spans="1:5" x14ac:dyDescent="0.25">
      <c r="A23" s="806" t="s">
        <v>1465</v>
      </c>
      <c r="B23" s="807" t="s">
        <v>1456</v>
      </c>
      <c r="C23" s="800" t="s">
        <v>1444</v>
      </c>
      <c r="D23" s="808">
        <f>'[3]10F11pr'!D23</f>
        <v>0</v>
      </c>
      <c r="E23" s="51"/>
    </row>
    <row r="24" spans="1:5" x14ac:dyDescent="0.25">
      <c r="A24" s="497" t="s">
        <v>1466</v>
      </c>
      <c r="B24" s="799" t="s">
        <v>1467</v>
      </c>
      <c r="C24" s="800" t="s">
        <v>1444</v>
      </c>
      <c r="D24" s="805">
        <f>SUM(D25,D26)</f>
        <v>56.898999999999994</v>
      </c>
      <c r="E24" s="51"/>
    </row>
    <row r="25" spans="1:5" x14ac:dyDescent="0.25">
      <c r="A25" s="497" t="s">
        <v>1468</v>
      </c>
      <c r="B25" s="811" t="s">
        <v>1469</v>
      </c>
      <c r="C25" s="800" t="s">
        <v>1444</v>
      </c>
      <c r="D25" s="801">
        <f>'[3]10F11pr'!D25</f>
        <v>48.590999999999994</v>
      </c>
      <c r="E25" s="51"/>
    </row>
    <row r="26" spans="1:5" x14ac:dyDescent="0.25">
      <c r="A26" s="497" t="s">
        <v>1470</v>
      </c>
      <c r="B26" s="811" t="s">
        <v>1471</v>
      </c>
      <c r="C26" s="800" t="s">
        <v>1444</v>
      </c>
      <c r="D26" s="801">
        <f>'[3]10F11pr'!D26</f>
        <v>8.3079999999999998</v>
      </c>
      <c r="E26" s="51"/>
    </row>
    <row r="27" spans="1:5" x14ac:dyDescent="0.25">
      <c r="A27" s="497" t="s">
        <v>1472</v>
      </c>
      <c r="B27" s="799" t="s">
        <v>1473</v>
      </c>
      <c r="C27" s="800" t="s">
        <v>1444</v>
      </c>
      <c r="D27" s="801">
        <f>'[3]10F11pr'!D27</f>
        <v>106.35236231884058</v>
      </c>
      <c r="E27" s="51"/>
    </row>
    <row r="28" spans="1:5" x14ac:dyDescent="0.25">
      <c r="A28" s="497" t="s">
        <v>1474</v>
      </c>
      <c r="B28" s="799" t="s">
        <v>1475</v>
      </c>
      <c r="C28" s="800" t="s">
        <v>1444</v>
      </c>
      <c r="D28" s="812">
        <f>'[3]10F11pr'!D28</f>
        <v>45.241700859950861</v>
      </c>
      <c r="E28" s="51"/>
    </row>
    <row r="29" spans="1:5" x14ac:dyDescent="0.25">
      <c r="A29" s="497" t="s">
        <v>1476</v>
      </c>
      <c r="B29" s="813" t="s">
        <v>1477</v>
      </c>
      <c r="C29" s="800" t="s">
        <v>1444</v>
      </c>
      <c r="D29" s="812">
        <f>'[3]10F11pr'!D29</f>
        <v>0</v>
      </c>
      <c r="E29" s="51"/>
    </row>
    <row r="30" spans="1:5" ht="15.75" thickBot="1" x14ac:dyDescent="0.3">
      <c r="A30" s="499" t="s">
        <v>297</v>
      </c>
      <c r="B30" s="814" t="s">
        <v>1478</v>
      </c>
      <c r="C30" s="815" t="s">
        <v>1444</v>
      </c>
      <c r="D30" s="816">
        <f>'[3]10F11pr'!D30</f>
        <v>42.20087200639373</v>
      </c>
      <c r="E30" s="51"/>
    </row>
    <row r="31" spans="1:5" x14ac:dyDescent="0.25">
      <c r="A31" s="51"/>
      <c r="B31" s="51"/>
      <c r="C31" s="51"/>
      <c r="D31" s="817"/>
      <c r="E31" s="51"/>
    </row>
    <row r="33" spans="1:4" ht="15.75" x14ac:dyDescent="0.25">
      <c r="A33" s="1131"/>
      <c r="B33" s="1131"/>
      <c r="C33" s="1131"/>
      <c r="D33" s="1131"/>
    </row>
    <row r="34" spans="1:4" x14ac:dyDescent="0.25">
      <c r="A34" s="1132"/>
      <c r="B34" s="1132"/>
      <c r="C34" s="1132"/>
      <c r="D34" s="1132"/>
    </row>
    <row r="35" spans="1:4" x14ac:dyDescent="0.25">
      <c r="B35" s="819"/>
      <c r="C35" s="819"/>
    </row>
  </sheetData>
  <sheetProtection algorithmName="SHA-512" hashValue="sI3NkrMwgnAlQFq0vCdwVH865I41IfVkU3teq1dPXGrbh7cenKIjhb4ALPFHk/0Lr6GIPy+CtFFuLYSP7Yq2Ww==" saltValue="fFAwf8oV8+alWw7w9tVU9jU3rgukxwWKjjBSNXxhyRfe1f/EZbSr+kG1UlGZN5AXENT7k+V7NGwPFOn4Z9+cQg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37"/>
  <sheetViews>
    <sheetView topLeftCell="A58" zoomScale="85" zoomScaleNormal="85" workbookViewId="0">
      <selection activeCell="J96" sqref="J96"/>
    </sheetView>
  </sheetViews>
  <sheetFormatPr defaultRowHeight="15" x14ac:dyDescent="0.2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2"/>
    </row>
    <row r="2" spans="1:32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2"/>
    </row>
    <row r="3" spans="1:32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5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 x14ac:dyDescent="0.25">
      <c r="A5" s="1095" t="s">
        <v>1479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7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 x14ac:dyDescent="0.3">
      <c r="A8" s="1143" t="s">
        <v>1480</v>
      </c>
      <c r="B8" s="1143"/>
      <c r="C8" s="525"/>
      <c r="D8" s="525"/>
      <c r="E8" s="525"/>
      <c r="F8" s="525"/>
      <c r="G8" s="525"/>
      <c r="H8" s="206"/>
      <c r="I8" s="206"/>
      <c r="J8" s="206"/>
      <c r="K8" s="206"/>
      <c r="L8" s="206"/>
      <c r="M8" s="206"/>
      <c r="N8" s="206"/>
      <c r="O8" s="206"/>
      <c r="P8" s="1006" t="s">
        <v>1481</v>
      </c>
      <c r="Q8" s="1006"/>
      <c r="R8" s="1006"/>
      <c r="S8" s="1006"/>
      <c r="T8" s="1006"/>
      <c r="U8" s="1006"/>
      <c r="V8" s="1006"/>
      <c r="W8" s="1006"/>
      <c r="X8" s="206"/>
      <c r="Y8" s="206"/>
      <c r="Z8" s="206"/>
      <c r="AA8" s="206"/>
      <c r="AB8" s="206"/>
      <c r="AC8" s="206"/>
      <c r="AD8" s="206"/>
      <c r="AE8" s="206"/>
      <c r="AF8" s="206"/>
    </row>
    <row r="9" spans="1:32" ht="24.75" customHeight="1" thickBot="1" x14ac:dyDescent="0.3">
      <c r="A9" s="1101" t="s">
        <v>4</v>
      </c>
      <c r="B9" s="1137" t="s">
        <v>1482</v>
      </c>
      <c r="C9" s="1135" t="s">
        <v>1601</v>
      </c>
      <c r="D9" s="1141" t="s">
        <v>1599</v>
      </c>
      <c r="E9" s="1142"/>
      <c r="F9" s="1139" t="s">
        <v>1483</v>
      </c>
      <c r="G9" s="1140"/>
      <c r="H9" s="1135" t="s">
        <v>1602</v>
      </c>
      <c r="I9" s="1141" t="s">
        <v>1600</v>
      </c>
      <c r="J9" s="1142"/>
      <c r="K9" s="1139" t="s">
        <v>1483</v>
      </c>
      <c r="L9" s="1140"/>
      <c r="M9" s="1135" t="s">
        <v>1603</v>
      </c>
      <c r="N9" s="1141" t="s">
        <v>1604</v>
      </c>
      <c r="O9" s="1142"/>
      <c r="P9" s="1139" t="s">
        <v>1483</v>
      </c>
      <c r="Q9" s="1140"/>
      <c r="R9" s="1144" t="s">
        <v>1484</v>
      </c>
      <c r="S9" s="1141" t="s">
        <v>1605</v>
      </c>
      <c r="T9" s="1142"/>
      <c r="U9" s="820" t="s">
        <v>1483</v>
      </c>
      <c r="V9" s="1146" t="s">
        <v>1485</v>
      </c>
      <c r="W9" s="1147"/>
      <c r="X9" s="206"/>
      <c r="Y9" s="206"/>
      <c r="Z9" s="821"/>
      <c r="AA9" s="206"/>
      <c r="AB9" s="206"/>
      <c r="AC9" s="206"/>
      <c r="AD9" s="206"/>
      <c r="AE9" s="206"/>
      <c r="AF9" s="206"/>
    </row>
    <row r="10" spans="1:32" ht="118.5" customHeight="1" thickBot="1" x14ac:dyDescent="0.3">
      <c r="A10" s="1103"/>
      <c r="B10" s="1138"/>
      <c r="C10" s="1136"/>
      <c r="D10" s="822" t="s">
        <v>1486</v>
      </c>
      <c r="E10" s="823" t="s">
        <v>1487</v>
      </c>
      <c r="F10" s="823" t="s">
        <v>1488</v>
      </c>
      <c r="G10" s="823" t="s">
        <v>1489</v>
      </c>
      <c r="H10" s="1136"/>
      <c r="I10" s="822" t="s">
        <v>1486</v>
      </c>
      <c r="J10" s="823" t="s">
        <v>1487</v>
      </c>
      <c r="K10" s="823" t="s">
        <v>1488</v>
      </c>
      <c r="L10" s="823" t="s">
        <v>1489</v>
      </c>
      <c r="M10" s="1136"/>
      <c r="N10" s="822" t="s">
        <v>1486</v>
      </c>
      <c r="O10" s="823" t="s">
        <v>1487</v>
      </c>
      <c r="P10" s="823" t="s">
        <v>1488</v>
      </c>
      <c r="Q10" s="823" t="s">
        <v>1489</v>
      </c>
      <c r="R10" s="1145"/>
      <c r="S10" s="824" t="s">
        <v>1490</v>
      </c>
      <c r="T10" s="825" t="s">
        <v>1491</v>
      </c>
      <c r="U10" s="825" t="s">
        <v>1492</v>
      </c>
      <c r="V10" s="826" t="s">
        <v>1490</v>
      </c>
      <c r="W10" s="826" t="s">
        <v>1491</v>
      </c>
      <c r="X10" s="206"/>
      <c r="Y10" s="206"/>
      <c r="Z10" s="821"/>
      <c r="AA10" s="206"/>
      <c r="AB10" s="206"/>
      <c r="AC10" s="206"/>
      <c r="AD10" s="206"/>
      <c r="AE10" s="206"/>
      <c r="AF10" s="206"/>
    </row>
    <row r="11" spans="1:32" x14ac:dyDescent="0.25">
      <c r="A11" s="827" t="s">
        <v>347</v>
      </c>
      <c r="B11" s="828" t="s">
        <v>1493</v>
      </c>
      <c r="C11" s="829">
        <f>SUM(C12,C13,C20,C30,C40,C49)</f>
        <v>11548.789999999999</v>
      </c>
      <c r="D11" s="830" t="s">
        <v>653</v>
      </c>
      <c r="E11" s="831">
        <f>SUM(E12,E13,E20,E30,E40,E49)</f>
        <v>615.50727711428556</v>
      </c>
      <c r="F11" s="832" t="s">
        <v>653</v>
      </c>
      <c r="G11" s="831">
        <f>SUM(G12,G13,G20,G30,G40,G49)</f>
        <v>0</v>
      </c>
      <c r="H11" s="829">
        <f>SUM(H12,H13,H20,H30,H40,H49)</f>
        <v>12983.129999999997</v>
      </c>
      <c r="I11" s="830" t="s">
        <v>653</v>
      </c>
      <c r="J11" s="831">
        <f>SUM(J12,J13,J20,J30,J40,J49)</f>
        <v>617.6158068572189</v>
      </c>
      <c r="K11" s="832" t="s">
        <v>653</v>
      </c>
      <c r="L11" s="831">
        <f>SUM(L12,L13,L20,L30,L40,L49)</f>
        <v>0</v>
      </c>
      <c r="M11" s="829">
        <f>SUM(M12,M13,M20,M30,M40,M49)</f>
        <v>11770.919999999998</v>
      </c>
      <c r="N11" s="830" t="s">
        <v>653</v>
      </c>
      <c r="O11" s="831">
        <f>SUM(O12,O13,O20,O30,O40,O49)</f>
        <v>0</v>
      </c>
      <c r="P11" s="832" t="s">
        <v>653</v>
      </c>
      <c r="Q11" s="831">
        <f>SUM(Q12,Q13,Q20,Q30,Q40,Q49)</f>
        <v>0</v>
      </c>
      <c r="R11" s="829">
        <f>SUM(R12,R13,R20,R30,R40,R49)</f>
        <v>36302.839999999997</v>
      </c>
      <c r="S11" s="830">
        <f>SUM(E11,J11,O11)</f>
        <v>1233.1230839715045</v>
      </c>
      <c r="T11" s="833" t="s">
        <v>653</v>
      </c>
      <c r="U11" s="833" t="s">
        <v>653</v>
      </c>
      <c r="V11" s="834">
        <f>IFERROR(S11/R11,"0")</f>
        <v>3.396767536566022E-2</v>
      </c>
      <c r="W11" s="835" t="s">
        <v>653</v>
      </c>
      <c r="X11" s="206"/>
      <c r="Y11" s="206"/>
      <c r="Z11" s="206"/>
      <c r="AA11" s="206"/>
      <c r="AB11" s="206"/>
      <c r="AC11" s="206"/>
      <c r="AD11" s="206"/>
      <c r="AE11" s="206"/>
      <c r="AF11" s="206"/>
    </row>
    <row r="12" spans="1:32" x14ac:dyDescent="0.25">
      <c r="A12" s="750" t="s">
        <v>285</v>
      </c>
      <c r="B12" s="836" t="s">
        <v>1494</v>
      </c>
      <c r="C12" s="837">
        <v>575.16999999999996</v>
      </c>
      <c r="D12" s="838" t="s">
        <v>653</v>
      </c>
      <c r="E12" s="839">
        <v>615.50727711428556</v>
      </c>
      <c r="F12" s="840" t="s">
        <v>653</v>
      </c>
      <c r="G12" s="839">
        <v>0</v>
      </c>
      <c r="H12" s="837">
        <v>575.16999999999996</v>
      </c>
      <c r="I12" s="838" t="s">
        <v>653</v>
      </c>
      <c r="J12" s="839">
        <f>'Forma 13'!VAS013_F_PavirsiniuNuotekuTvarkymoNusidevejimo20M</f>
        <v>617.6158068572189</v>
      </c>
      <c r="K12" s="840" t="s">
        <v>653</v>
      </c>
      <c r="L12" s="839">
        <v>0</v>
      </c>
      <c r="M12" s="837">
        <v>575.16999999999996</v>
      </c>
      <c r="N12" s="838" t="s">
        <v>653</v>
      </c>
      <c r="O12" s="839">
        <v>0</v>
      </c>
      <c r="P12" s="840" t="s">
        <v>653</v>
      </c>
      <c r="Q12" s="839">
        <v>0</v>
      </c>
      <c r="R12" s="841">
        <f>SUM(C12,H12,M12)</f>
        <v>1725.5099999999998</v>
      </c>
      <c r="S12" s="842">
        <f>SUM(E12,J12,O12)</f>
        <v>1233.1230839715045</v>
      </c>
      <c r="T12" s="843" t="s">
        <v>653</v>
      </c>
      <c r="U12" s="843" t="s">
        <v>653</v>
      </c>
      <c r="V12" s="844">
        <f t="shared" ref="V12:V56" si="0">IFERROR(S12/R12,"0")</f>
        <v>0.7146426760618626</v>
      </c>
      <c r="W12" s="845" t="s">
        <v>653</v>
      </c>
      <c r="X12" s="460"/>
      <c r="Y12" s="460"/>
      <c r="Z12" s="684"/>
      <c r="AA12" s="684"/>
      <c r="AB12" s="684"/>
      <c r="AC12" s="684"/>
      <c r="AD12" s="684"/>
      <c r="AE12" s="684"/>
      <c r="AF12" s="684"/>
    </row>
    <row r="13" spans="1:32" x14ac:dyDescent="0.25">
      <c r="A13" s="846" t="s">
        <v>295</v>
      </c>
      <c r="B13" s="847" t="s">
        <v>1495</v>
      </c>
      <c r="C13" s="841">
        <f>SUM(C14:C19)</f>
        <v>0</v>
      </c>
      <c r="D13" s="838" t="s">
        <v>653</v>
      </c>
      <c r="E13" s="848">
        <f>SUM(E14:E19)</f>
        <v>0</v>
      </c>
      <c r="F13" s="840" t="s">
        <v>653</v>
      </c>
      <c r="G13" s="848">
        <f>SUM(G14:G19)</f>
        <v>0</v>
      </c>
      <c r="H13" s="841">
        <f>SUM(H14:H19)</f>
        <v>0</v>
      </c>
      <c r="I13" s="838" t="s">
        <v>653</v>
      </c>
      <c r="J13" s="848">
        <f>SUM(J14:J19)</f>
        <v>0</v>
      </c>
      <c r="K13" s="840" t="s">
        <v>653</v>
      </c>
      <c r="L13" s="848">
        <f>SUM(L14:L19)</f>
        <v>0</v>
      </c>
      <c r="M13" s="841">
        <f>SUM(M14:M19)</f>
        <v>0</v>
      </c>
      <c r="N13" s="838" t="s">
        <v>653</v>
      </c>
      <c r="O13" s="848">
        <f>SUM(O14:O19)</f>
        <v>0</v>
      </c>
      <c r="P13" s="840" t="s">
        <v>653</v>
      </c>
      <c r="Q13" s="848">
        <f>SUM(Q14:Q19)</f>
        <v>0</v>
      </c>
      <c r="R13" s="841">
        <f>SUM(R14:R19)</f>
        <v>0</v>
      </c>
      <c r="S13" s="842">
        <f>SUM(E13,J13,O13)</f>
        <v>0</v>
      </c>
      <c r="T13" s="843" t="s">
        <v>653</v>
      </c>
      <c r="U13" s="843" t="s">
        <v>653</v>
      </c>
      <c r="V13" s="844" t="str">
        <f t="shared" si="0"/>
        <v>0</v>
      </c>
      <c r="W13" s="845" t="s">
        <v>653</v>
      </c>
      <c r="X13" s="460"/>
      <c r="Y13" s="460"/>
      <c r="Z13" s="684"/>
      <c r="AA13" s="684"/>
      <c r="AB13" s="684"/>
      <c r="AC13" s="684"/>
      <c r="AD13" s="684"/>
      <c r="AE13" s="684"/>
      <c r="AF13" s="684"/>
    </row>
    <row r="14" spans="1:32" x14ac:dyDescent="0.25">
      <c r="A14" s="846" t="s">
        <v>666</v>
      </c>
      <c r="B14" s="849"/>
      <c r="C14" s="837"/>
      <c r="D14" s="838" t="s">
        <v>653</v>
      </c>
      <c r="E14" s="839"/>
      <c r="F14" s="840" t="s">
        <v>653</v>
      </c>
      <c r="G14" s="839"/>
      <c r="H14" s="837"/>
      <c r="I14" s="838" t="s">
        <v>653</v>
      </c>
      <c r="J14" s="839"/>
      <c r="K14" s="840" t="s">
        <v>653</v>
      </c>
      <c r="L14" s="839"/>
      <c r="M14" s="837"/>
      <c r="N14" s="838" t="s">
        <v>653</v>
      </c>
      <c r="O14" s="839"/>
      <c r="P14" s="840" t="s">
        <v>653</v>
      </c>
      <c r="Q14" s="839"/>
      <c r="R14" s="850">
        <f>SUM(C14,H14,M14)</f>
        <v>0</v>
      </c>
      <c r="S14" s="851">
        <f>SUM(E14,J14,O14)</f>
        <v>0</v>
      </c>
      <c r="T14" s="843" t="s">
        <v>653</v>
      </c>
      <c r="U14" s="843" t="s">
        <v>653</v>
      </c>
      <c r="V14" s="852" t="str">
        <f t="shared" si="0"/>
        <v>0</v>
      </c>
      <c r="W14" s="845" t="s">
        <v>653</v>
      </c>
      <c r="X14" s="460"/>
      <c r="Y14" s="460"/>
      <c r="Z14" s="684"/>
      <c r="AA14" s="684"/>
      <c r="AB14" s="684"/>
      <c r="AC14" s="684"/>
      <c r="AD14" s="684"/>
      <c r="AE14" s="684"/>
      <c r="AF14" s="684"/>
    </row>
    <row r="15" spans="1:32" x14ac:dyDescent="0.25">
      <c r="A15" s="846" t="s">
        <v>668</v>
      </c>
      <c r="B15" s="849"/>
      <c r="C15" s="837"/>
      <c r="D15" s="838" t="s">
        <v>653</v>
      </c>
      <c r="E15" s="839"/>
      <c r="F15" s="840" t="s">
        <v>653</v>
      </c>
      <c r="G15" s="839"/>
      <c r="H15" s="837"/>
      <c r="I15" s="838" t="s">
        <v>653</v>
      </c>
      <c r="J15" s="839"/>
      <c r="K15" s="840" t="s">
        <v>653</v>
      </c>
      <c r="L15" s="839"/>
      <c r="M15" s="837"/>
      <c r="N15" s="838" t="s">
        <v>653</v>
      </c>
      <c r="O15" s="839"/>
      <c r="P15" s="840" t="s">
        <v>653</v>
      </c>
      <c r="Q15" s="839"/>
      <c r="R15" s="850">
        <f t="shared" ref="R15:R19" si="1">SUM(C15,H15,M15)</f>
        <v>0</v>
      </c>
      <c r="S15" s="851">
        <f t="shared" ref="S15:S19" si="2">SUM(E15,J15,O15)</f>
        <v>0</v>
      </c>
      <c r="T15" s="843" t="s">
        <v>653</v>
      </c>
      <c r="U15" s="843" t="s">
        <v>653</v>
      </c>
      <c r="V15" s="852" t="str">
        <f t="shared" si="0"/>
        <v>0</v>
      </c>
      <c r="W15" s="845" t="s">
        <v>653</v>
      </c>
      <c r="X15" s="460"/>
      <c r="Y15" s="460"/>
      <c r="Z15" s="684"/>
      <c r="AA15" s="684"/>
      <c r="AB15" s="684"/>
      <c r="AC15" s="684"/>
      <c r="AD15" s="684"/>
      <c r="AE15" s="684"/>
      <c r="AF15" s="684"/>
    </row>
    <row r="16" spans="1:32" x14ac:dyDescent="0.25">
      <c r="A16" s="846" t="s">
        <v>1449</v>
      </c>
      <c r="B16" s="849"/>
      <c r="C16" s="837"/>
      <c r="D16" s="838" t="s">
        <v>653</v>
      </c>
      <c r="E16" s="839"/>
      <c r="F16" s="840" t="s">
        <v>653</v>
      </c>
      <c r="G16" s="839"/>
      <c r="H16" s="837"/>
      <c r="I16" s="838" t="s">
        <v>653</v>
      </c>
      <c r="J16" s="839"/>
      <c r="K16" s="840" t="s">
        <v>653</v>
      </c>
      <c r="L16" s="839"/>
      <c r="M16" s="837"/>
      <c r="N16" s="838" t="s">
        <v>653</v>
      </c>
      <c r="O16" s="839"/>
      <c r="P16" s="840" t="s">
        <v>653</v>
      </c>
      <c r="Q16" s="839"/>
      <c r="R16" s="850">
        <f t="shared" si="1"/>
        <v>0</v>
      </c>
      <c r="S16" s="851">
        <f t="shared" si="2"/>
        <v>0</v>
      </c>
      <c r="T16" s="843" t="s">
        <v>653</v>
      </c>
      <c r="U16" s="843" t="s">
        <v>653</v>
      </c>
      <c r="V16" s="852" t="str">
        <f t="shared" si="0"/>
        <v>0</v>
      </c>
      <c r="W16" s="845" t="s">
        <v>653</v>
      </c>
      <c r="X16" s="460"/>
      <c r="Y16" s="460"/>
      <c r="Z16" s="684"/>
      <c r="AA16" s="684"/>
      <c r="AB16" s="684"/>
      <c r="AC16" s="684"/>
      <c r="AD16" s="684"/>
      <c r="AE16" s="684"/>
      <c r="AF16" s="684"/>
    </row>
    <row r="17" spans="1:32" x14ac:dyDescent="0.25">
      <c r="A17" s="846" t="s">
        <v>1451</v>
      </c>
      <c r="B17" s="853"/>
      <c r="C17" s="854"/>
      <c r="D17" s="838" t="s">
        <v>653</v>
      </c>
      <c r="E17" s="855"/>
      <c r="F17" s="840" t="s">
        <v>653</v>
      </c>
      <c r="G17" s="855"/>
      <c r="H17" s="854"/>
      <c r="I17" s="838" t="s">
        <v>653</v>
      </c>
      <c r="J17" s="855"/>
      <c r="K17" s="840" t="s">
        <v>653</v>
      </c>
      <c r="L17" s="855"/>
      <c r="M17" s="854"/>
      <c r="N17" s="838" t="s">
        <v>653</v>
      </c>
      <c r="O17" s="855"/>
      <c r="P17" s="840" t="s">
        <v>653</v>
      </c>
      <c r="Q17" s="855"/>
      <c r="R17" s="850">
        <f t="shared" si="1"/>
        <v>0</v>
      </c>
      <c r="S17" s="851">
        <f t="shared" si="2"/>
        <v>0</v>
      </c>
      <c r="T17" s="843" t="s">
        <v>653</v>
      </c>
      <c r="U17" s="843" t="s">
        <v>653</v>
      </c>
      <c r="V17" s="852" t="str">
        <f t="shared" si="0"/>
        <v>0</v>
      </c>
      <c r="W17" s="845" t="s">
        <v>653</v>
      </c>
      <c r="X17" s="856"/>
      <c r="Y17" s="856"/>
      <c r="Z17" s="857"/>
      <c r="AA17" s="857"/>
      <c r="AB17" s="857"/>
      <c r="AC17" s="857"/>
      <c r="AD17" s="857"/>
      <c r="AE17" s="857"/>
      <c r="AF17" s="857"/>
    </row>
    <row r="18" spans="1:32" x14ac:dyDescent="0.25">
      <c r="A18" s="846" t="s">
        <v>1453</v>
      </c>
      <c r="B18" s="853"/>
      <c r="C18" s="854"/>
      <c r="D18" s="838" t="s">
        <v>653</v>
      </c>
      <c r="E18" s="855"/>
      <c r="F18" s="840" t="s">
        <v>653</v>
      </c>
      <c r="G18" s="855"/>
      <c r="H18" s="854"/>
      <c r="I18" s="838" t="s">
        <v>653</v>
      </c>
      <c r="J18" s="855"/>
      <c r="K18" s="840" t="s">
        <v>653</v>
      </c>
      <c r="L18" s="855"/>
      <c r="M18" s="854"/>
      <c r="N18" s="838" t="s">
        <v>653</v>
      </c>
      <c r="O18" s="855"/>
      <c r="P18" s="840" t="s">
        <v>653</v>
      </c>
      <c r="Q18" s="855"/>
      <c r="R18" s="850">
        <f t="shared" si="1"/>
        <v>0</v>
      </c>
      <c r="S18" s="851">
        <f t="shared" si="2"/>
        <v>0</v>
      </c>
      <c r="T18" s="843" t="s">
        <v>653</v>
      </c>
      <c r="U18" s="843" t="s">
        <v>653</v>
      </c>
      <c r="V18" s="852" t="str">
        <f t="shared" si="0"/>
        <v>0</v>
      </c>
      <c r="W18" s="845" t="s">
        <v>653</v>
      </c>
      <c r="X18" s="856"/>
      <c r="Y18" s="856"/>
      <c r="Z18" s="857"/>
      <c r="AA18" s="857"/>
      <c r="AB18" s="857"/>
      <c r="AC18" s="857"/>
      <c r="AD18" s="857"/>
      <c r="AE18" s="857"/>
      <c r="AF18" s="857"/>
    </row>
    <row r="19" spans="1:32" x14ac:dyDescent="0.25">
      <c r="A19" s="846" t="s">
        <v>1463</v>
      </c>
      <c r="B19" s="853"/>
      <c r="C19" s="854"/>
      <c r="D19" s="838" t="s">
        <v>653</v>
      </c>
      <c r="E19" s="855"/>
      <c r="F19" s="840" t="s">
        <v>653</v>
      </c>
      <c r="G19" s="855"/>
      <c r="H19" s="854"/>
      <c r="I19" s="838" t="s">
        <v>653</v>
      </c>
      <c r="J19" s="855"/>
      <c r="K19" s="840" t="s">
        <v>653</v>
      </c>
      <c r="L19" s="855"/>
      <c r="M19" s="854"/>
      <c r="N19" s="838" t="s">
        <v>653</v>
      </c>
      <c r="O19" s="855"/>
      <c r="P19" s="840" t="s">
        <v>653</v>
      </c>
      <c r="Q19" s="855"/>
      <c r="R19" s="850">
        <f t="shared" si="1"/>
        <v>0</v>
      </c>
      <c r="S19" s="851">
        <f t="shared" si="2"/>
        <v>0</v>
      </c>
      <c r="T19" s="843" t="s">
        <v>653</v>
      </c>
      <c r="U19" s="843" t="s">
        <v>653</v>
      </c>
      <c r="V19" s="852" t="str">
        <f t="shared" si="0"/>
        <v>0</v>
      </c>
      <c r="W19" s="845" t="s">
        <v>653</v>
      </c>
      <c r="X19" s="856"/>
      <c r="Y19" s="856"/>
      <c r="Z19" s="857"/>
      <c r="AA19" s="857"/>
      <c r="AB19" s="857"/>
      <c r="AC19" s="857"/>
      <c r="AD19" s="857"/>
      <c r="AE19" s="857"/>
      <c r="AF19" s="857"/>
    </row>
    <row r="20" spans="1:32" x14ac:dyDescent="0.25">
      <c r="A20" s="846" t="s">
        <v>297</v>
      </c>
      <c r="B20" s="847" t="s">
        <v>1496</v>
      </c>
      <c r="C20" s="841">
        <f>SUM(C21:C29)</f>
        <v>1646.73</v>
      </c>
      <c r="D20" s="838" t="s">
        <v>653</v>
      </c>
      <c r="E20" s="848">
        <f>SUM(E21:E29)</f>
        <v>0</v>
      </c>
      <c r="F20" s="840" t="s">
        <v>653</v>
      </c>
      <c r="G20" s="848">
        <f>SUM(G21:G29)</f>
        <v>0</v>
      </c>
      <c r="H20" s="841">
        <f>SUM(H21:H29)</f>
        <v>1861.1999999999998</v>
      </c>
      <c r="I20" s="838" t="s">
        <v>653</v>
      </c>
      <c r="J20" s="848">
        <f>SUM(J21:J29)</f>
        <v>0</v>
      </c>
      <c r="K20" s="840" t="s">
        <v>653</v>
      </c>
      <c r="L20" s="848">
        <f>SUM(L21:L29)</f>
        <v>0</v>
      </c>
      <c r="M20" s="841">
        <f>SUM(M21:M29)</f>
        <v>1679.37</v>
      </c>
      <c r="N20" s="838" t="s">
        <v>653</v>
      </c>
      <c r="O20" s="848">
        <f>SUM(O21:O29)</f>
        <v>0</v>
      </c>
      <c r="P20" s="840" t="s">
        <v>653</v>
      </c>
      <c r="Q20" s="848">
        <f>SUM(Q21:Q29)</f>
        <v>0</v>
      </c>
      <c r="R20" s="841">
        <f>SUM(R21:R29)</f>
        <v>5187.3</v>
      </c>
      <c r="S20" s="842">
        <f>SUM(E20,J20,O20)</f>
        <v>0</v>
      </c>
      <c r="T20" s="843" t="s">
        <v>653</v>
      </c>
      <c r="U20" s="843" t="s">
        <v>653</v>
      </c>
      <c r="V20" s="844">
        <f t="shared" si="0"/>
        <v>0</v>
      </c>
      <c r="W20" s="845" t="s">
        <v>653</v>
      </c>
      <c r="X20" s="460"/>
      <c r="Y20" s="460"/>
      <c r="Z20" s="684"/>
      <c r="AA20" s="684"/>
      <c r="AB20" s="684"/>
      <c r="AC20" s="684"/>
      <c r="AD20" s="684"/>
      <c r="AE20" s="684"/>
      <c r="AF20" s="684"/>
    </row>
    <row r="21" spans="1:32" x14ac:dyDescent="0.25">
      <c r="A21" s="846" t="s">
        <v>734</v>
      </c>
      <c r="B21" s="849" t="s">
        <v>1606</v>
      </c>
      <c r="C21" s="837">
        <v>221.89</v>
      </c>
      <c r="D21" s="838" t="s">
        <v>653</v>
      </c>
      <c r="E21" s="839"/>
      <c r="F21" s="840" t="s">
        <v>653</v>
      </c>
      <c r="G21" s="839"/>
      <c r="H21" s="837">
        <v>165.41</v>
      </c>
      <c r="I21" s="838" t="s">
        <v>653</v>
      </c>
      <c r="J21" s="839"/>
      <c r="K21" s="840" t="s">
        <v>653</v>
      </c>
      <c r="L21" s="839"/>
      <c r="M21" s="837">
        <v>165.41</v>
      </c>
      <c r="N21" s="838" t="s">
        <v>653</v>
      </c>
      <c r="O21" s="839"/>
      <c r="P21" s="840" t="s">
        <v>653</v>
      </c>
      <c r="Q21" s="839"/>
      <c r="R21" s="850">
        <f>SUM(C21,H21,M21)</f>
        <v>552.70999999999992</v>
      </c>
      <c r="S21" s="851">
        <f>SUM(E21,J21,O21)</f>
        <v>0</v>
      </c>
      <c r="T21" s="843" t="s">
        <v>653</v>
      </c>
      <c r="U21" s="843" t="s">
        <v>653</v>
      </c>
      <c r="V21" s="852">
        <f t="shared" si="0"/>
        <v>0</v>
      </c>
      <c r="W21" s="845" t="s">
        <v>653</v>
      </c>
      <c r="X21" s="460"/>
      <c r="Y21" s="460"/>
      <c r="Z21" s="684"/>
      <c r="AA21" s="684"/>
      <c r="AB21" s="684"/>
      <c r="AC21" s="684"/>
      <c r="AD21" s="684"/>
      <c r="AE21" s="684"/>
      <c r="AF21" s="684"/>
    </row>
    <row r="22" spans="1:32" x14ac:dyDescent="0.25">
      <c r="A22" s="846" t="s">
        <v>736</v>
      </c>
      <c r="B22" s="849" t="s">
        <v>1607</v>
      </c>
      <c r="C22" s="837">
        <v>1002.13</v>
      </c>
      <c r="D22" s="838" t="s">
        <v>653</v>
      </c>
      <c r="E22" s="839"/>
      <c r="F22" s="840" t="s">
        <v>653</v>
      </c>
      <c r="G22" s="839"/>
      <c r="H22" s="837">
        <v>751.18</v>
      </c>
      <c r="I22" s="838" t="s">
        <v>653</v>
      </c>
      <c r="J22" s="839"/>
      <c r="K22" s="840" t="s">
        <v>653</v>
      </c>
      <c r="L22" s="839"/>
      <c r="M22" s="837">
        <v>751.18</v>
      </c>
      <c r="N22" s="838" t="s">
        <v>653</v>
      </c>
      <c r="O22" s="839"/>
      <c r="P22" s="840" t="s">
        <v>653</v>
      </c>
      <c r="Q22" s="839"/>
      <c r="R22" s="850">
        <f t="shared" ref="R22:R29" si="3">SUM(C22,H22,M22)</f>
        <v>2504.4899999999998</v>
      </c>
      <c r="S22" s="851">
        <f t="shared" ref="S22:S29" si="4">SUM(E22,J22,O22)</f>
        <v>0</v>
      </c>
      <c r="T22" s="843" t="s">
        <v>653</v>
      </c>
      <c r="U22" s="843" t="s">
        <v>653</v>
      </c>
      <c r="V22" s="852">
        <f t="shared" si="0"/>
        <v>0</v>
      </c>
      <c r="W22" s="845" t="s">
        <v>653</v>
      </c>
      <c r="X22" s="460"/>
      <c r="Y22" s="460"/>
      <c r="Z22" s="684"/>
      <c r="AA22" s="684"/>
      <c r="AB22" s="684"/>
      <c r="AC22" s="684"/>
      <c r="AD22" s="684"/>
      <c r="AE22" s="684"/>
      <c r="AF22" s="684"/>
    </row>
    <row r="23" spans="1:32" x14ac:dyDescent="0.25">
      <c r="A23" s="846" t="s">
        <v>738</v>
      </c>
      <c r="B23" s="849" t="s">
        <v>1608</v>
      </c>
      <c r="C23" s="837">
        <v>284.69</v>
      </c>
      <c r="D23" s="838" t="s">
        <v>653</v>
      </c>
      <c r="E23" s="839"/>
      <c r="F23" s="840" t="s">
        <v>653</v>
      </c>
      <c r="G23" s="839"/>
      <c r="H23" s="837">
        <v>213.1</v>
      </c>
      <c r="I23" s="838" t="s">
        <v>653</v>
      </c>
      <c r="J23" s="839"/>
      <c r="K23" s="840" t="s">
        <v>653</v>
      </c>
      <c r="L23" s="839"/>
      <c r="M23" s="837">
        <v>213.1</v>
      </c>
      <c r="N23" s="838" t="s">
        <v>653</v>
      </c>
      <c r="O23" s="839"/>
      <c r="P23" s="840" t="s">
        <v>653</v>
      </c>
      <c r="Q23" s="839"/>
      <c r="R23" s="850">
        <f t="shared" si="3"/>
        <v>710.89</v>
      </c>
      <c r="S23" s="851">
        <f t="shared" si="4"/>
        <v>0</v>
      </c>
      <c r="T23" s="843" t="s">
        <v>653</v>
      </c>
      <c r="U23" s="843" t="s">
        <v>653</v>
      </c>
      <c r="V23" s="852">
        <f t="shared" si="0"/>
        <v>0</v>
      </c>
      <c r="W23" s="845" t="s">
        <v>653</v>
      </c>
      <c r="X23" s="460"/>
      <c r="Y23" s="460"/>
      <c r="Z23" s="684"/>
      <c r="AA23" s="684"/>
      <c r="AB23" s="684"/>
      <c r="AC23" s="684"/>
      <c r="AD23" s="684"/>
      <c r="AE23" s="684"/>
      <c r="AF23" s="684"/>
    </row>
    <row r="24" spans="1:32" x14ac:dyDescent="0.25">
      <c r="A24" s="846" t="s">
        <v>807</v>
      </c>
      <c r="B24" s="849" t="s">
        <v>1609</v>
      </c>
      <c r="C24" s="837">
        <v>47.09</v>
      </c>
      <c r="D24" s="838" t="s">
        <v>653</v>
      </c>
      <c r="E24" s="839"/>
      <c r="F24" s="840" t="s">
        <v>653</v>
      </c>
      <c r="G24" s="839"/>
      <c r="H24" s="837">
        <v>34.479999999999997</v>
      </c>
      <c r="I24" s="838" t="s">
        <v>653</v>
      </c>
      <c r="J24" s="839"/>
      <c r="K24" s="840" t="s">
        <v>653</v>
      </c>
      <c r="L24" s="839"/>
      <c r="M24" s="837">
        <v>34.479999999999997</v>
      </c>
      <c r="N24" s="838" t="s">
        <v>653</v>
      </c>
      <c r="O24" s="839"/>
      <c r="P24" s="840" t="s">
        <v>653</v>
      </c>
      <c r="Q24" s="839"/>
      <c r="R24" s="850">
        <f t="shared" si="3"/>
        <v>116.04999999999998</v>
      </c>
      <c r="S24" s="851">
        <f t="shared" si="4"/>
        <v>0</v>
      </c>
      <c r="T24" s="843" t="s">
        <v>653</v>
      </c>
      <c r="U24" s="843" t="s">
        <v>653</v>
      </c>
      <c r="V24" s="852">
        <f t="shared" si="0"/>
        <v>0</v>
      </c>
      <c r="W24" s="845" t="s">
        <v>653</v>
      </c>
      <c r="X24" s="460"/>
      <c r="Y24" s="460"/>
      <c r="Z24" s="684"/>
      <c r="AA24" s="684"/>
      <c r="AB24" s="684"/>
      <c r="AC24" s="684"/>
      <c r="AD24" s="684"/>
      <c r="AE24" s="684"/>
      <c r="AF24" s="684"/>
    </row>
    <row r="25" spans="1:32" x14ac:dyDescent="0.25">
      <c r="A25" s="846" t="s">
        <v>809</v>
      </c>
      <c r="B25" s="849" t="s">
        <v>1610</v>
      </c>
      <c r="C25" s="837">
        <v>4.33</v>
      </c>
      <c r="D25" s="838" t="s">
        <v>653</v>
      </c>
      <c r="E25" s="839"/>
      <c r="F25" s="840" t="s">
        <v>653</v>
      </c>
      <c r="G25" s="839"/>
      <c r="H25" s="837">
        <v>33.17</v>
      </c>
      <c r="I25" s="838" t="s">
        <v>653</v>
      </c>
      <c r="J25" s="839"/>
      <c r="K25" s="840" t="s">
        <v>653</v>
      </c>
      <c r="L25" s="839"/>
      <c r="M25" s="837">
        <v>24.52</v>
      </c>
      <c r="N25" s="838" t="s">
        <v>653</v>
      </c>
      <c r="O25" s="839"/>
      <c r="P25" s="840" t="s">
        <v>653</v>
      </c>
      <c r="Q25" s="839"/>
      <c r="R25" s="850">
        <f t="shared" si="3"/>
        <v>62.019999999999996</v>
      </c>
      <c r="S25" s="851">
        <f t="shared" si="4"/>
        <v>0</v>
      </c>
      <c r="T25" s="843" t="s">
        <v>653</v>
      </c>
      <c r="U25" s="843" t="s">
        <v>653</v>
      </c>
      <c r="V25" s="852">
        <f t="shared" si="0"/>
        <v>0</v>
      </c>
      <c r="W25" s="845" t="s">
        <v>653</v>
      </c>
      <c r="X25" s="460"/>
      <c r="Y25" s="460"/>
      <c r="Z25" s="684"/>
      <c r="AA25" s="684"/>
      <c r="AB25" s="684"/>
      <c r="AC25" s="684"/>
      <c r="AD25" s="684"/>
      <c r="AE25" s="684"/>
      <c r="AF25" s="684"/>
    </row>
    <row r="26" spans="1:32" x14ac:dyDescent="0.25">
      <c r="A26" s="846" t="s">
        <v>869</v>
      </c>
      <c r="B26" s="849" t="s">
        <v>1611</v>
      </c>
      <c r="C26" s="837">
        <v>14.56</v>
      </c>
      <c r="D26" s="838" t="s">
        <v>653</v>
      </c>
      <c r="E26" s="839"/>
      <c r="F26" s="840" t="s">
        <v>653</v>
      </c>
      <c r="G26" s="839"/>
      <c r="H26" s="837">
        <v>111.59</v>
      </c>
      <c r="I26" s="838" t="s">
        <v>653</v>
      </c>
      <c r="J26" s="839"/>
      <c r="K26" s="840" t="s">
        <v>653</v>
      </c>
      <c r="L26" s="839"/>
      <c r="M26" s="837">
        <v>82.48</v>
      </c>
      <c r="N26" s="838" t="s">
        <v>653</v>
      </c>
      <c r="O26" s="839"/>
      <c r="P26" s="840" t="s">
        <v>653</v>
      </c>
      <c r="Q26" s="839"/>
      <c r="R26" s="850">
        <f t="shared" si="3"/>
        <v>208.63</v>
      </c>
      <c r="S26" s="851">
        <f t="shared" si="4"/>
        <v>0</v>
      </c>
      <c r="T26" s="843" t="s">
        <v>653</v>
      </c>
      <c r="U26" s="843" t="s">
        <v>653</v>
      </c>
      <c r="V26" s="852">
        <f t="shared" si="0"/>
        <v>0</v>
      </c>
      <c r="W26" s="845" t="s">
        <v>653</v>
      </c>
      <c r="X26" s="460"/>
      <c r="Y26" s="460"/>
      <c r="Z26" s="684"/>
      <c r="AA26" s="684"/>
      <c r="AB26" s="684"/>
      <c r="AC26" s="684"/>
      <c r="AD26" s="684"/>
      <c r="AE26" s="684"/>
      <c r="AF26" s="684"/>
    </row>
    <row r="27" spans="1:32" x14ac:dyDescent="0.25">
      <c r="A27" s="846" t="s">
        <v>871</v>
      </c>
      <c r="B27" s="853" t="s">
        <v>1612</v>
      </c>
      <c r="C27" s="858">
        <v>11.95</v>
      </c>
      <c r="D27" s="838" t="s">
        <v>653</v>
      </c>
      <c r="E27" s="859"/>
      <c r="F27" s="840" t="s">
        <v>653</v>
      </c>
      <c r="G27" s="859"/>
      <c r="H27" s="858">
        <v>91.58</v>
      </c>
      <c r="I27" s="838" t="s">
        <v>653</v>
      </c>
      <c r="J27" s="859"/>
      <c r="K27" s="840" t="s">
        <v>653</v>
      </c>
      <c r="L27" s="859"/>
      <c r="M27" s="858">
        <v>67.69</v>
      </c>
      <c r="N27" s="838" t="s">
        <v>653</v>
      </c>
      <c r="O27" s="859"/>
      <c r="P27" s="840" t="s">
        <v>653</v>
      </c>
      <c r="Q27" s="859"/>
      <c r="R27" s="850">
        <f t="shared" si="3"/>
        <v>171.22</v>
      </c>
      <c r="S27" s="851">
        <f t="shared" si="4"/>
        <v>0</v>
      </c>
      <c r="T27" s="843" t="s">
        <v>653</v>
      </c>
      <c r="U27" s="843" t="s">
        <v>653</v>
      </c>
      <c r="V27" s="852">
        <f t="shared" si="0"/>
        <v>0</v>
      </c>
      <c r="W27" s="845" t="s">
        <v>653</v>
      </c>
      <c r="X27" s="856"/>
      <c r="Y27" s="856"/>
      <c r="Z27" s="857"/>
      <c r="AA27" s="857"/>
      <c r="AB27" s="857"/>
      <c r="AC27" s="857"/>
      <c r="AD27" s="857"/>
      <c r="AE27" s="857"/>
      <c r="AF27" s="857"/>
    </row>
    <row r="28" spans="1:32" x14ac:dyDescent="0.25">
      <c r="A28" s="846" t="s">
        <v>873</v>
      </c>
      <c r="B28" s="853" t="s">
        <v>1613</v>
      </c>
      <c r="C28" s="858">
        <v>28.89</v>
      </c>
      <c r="D28" s="838" t="s">
        <v>653</v>
      </c>
      <c r="E28" s="859"/>
      <c r="F28" s="840" t="s">
        <v>653</v>
      </c>
      <c r="G28" s="859"/>
      <c r="H28" s="858">
        <v>221.49</v>
      </c>
      <c r="I28" s="838" t="s">
        <v>653</v>
      </c>
      <c r="J28" s="859"/>
      <c r="K28" s="840" t="s">
        <v>653</v>
      </c>
      <c r="L28" s="859"/>
      <c r="M28" s="858">
        <v>163.71</v>
      </c>
      <c r="N28" s="838" t="s">
        <v>653</v>
      </c>
      <c r="O28" s="859"/>
      <c r="P28" s="840" t="s">
        <v>653</v>
      </c>
      <c r="Q28" s="859"/>
      <c r="R28" s="850">
        <f t="shared" si="3"/>
        <v>414.09000000000003</v>
      </c>
      <c r="S28" s="851">
        <f t="shared" si="4"/>
        <v>0</v>
      </c>
      <c r="T28" s="843" t="s">
        <v>653</v>
      </c>
      <c r="U28" s="843" t="s">
        <v>653</v>
      </c>
      <c r="V28" s="852">
        <f t="shared" si="0"/>
        <v>0</v>
      </c>
      <c r="W28" s="845" t="s">
        <v>653</v>
      </c>
      <c r="X28" s="856"/>
      <c r="Y28" s="856"/>
      <c r="Z28" s="857"/>
      <c r="AA28" s="857"/>
      <c r="AB28" s="857"/>
      <c r="AC28" s="857"/>
      <c r="AD28" s="857"/>
      <c r="AE28" s="857"/>
      <c r="AF28" s="857"/>
    </row>
    <row r="29" spans="1:32" x14ac:dyDescent="0.25">
      <c r="A29" s="846" t="s">
        <v>875</v>
      </c>
      <c r="B29" s="853" t="s">
        <v>1614</v>
      </c>
      <c r="C29" s="854">
        <v>31.2</v>
      </c>
      <c r="D29" s="838" t="s">
        <v>653</v>
      </c>
      <c r="E29" s="855"/>
      <c r="F29" s="840" t="s">
        <v>653</v>
      </c>
      <c r="G29" s="855"/>
      <c r="H29" s="854">
        <v>239.2</v>
      </c>
      <c r="I29" s="838" t="s">
        <v>653</v>
      </c>
      <c r="J29" s="855"/>
      <c r="K29" s="840" t="s">
        <v>653</v>
      </c>
      <c r="L29" s="855"/>
      <c r="M29" s="854">
        <v>176.8</v>
      </c>
      <c r="N29" s="838" t="s">
        <v>653</v>
      </c>
      <c r="O29" s="855"/>
      <c r="P29" s="840" t="s">
        <v>653</v>
      </c>
      <c r="Q29" s="855"/>
      <c r="R29" s="850">
        <f t="shared" si="3"/>
        <v>447.2</v>
      </c>
      <c r="S29" s="851">
        <f t="shared" si="4"/>
        <v>0</v>
      </c>
      <c r="T29" s="843" t="s">
        <v>653</v>
      </c>
      <c r="U29" s="843" t="s">
        <v>653</v>
      </c>
      <c r="V29" s="852">
        <f t="shared" si="0"/>
        <v>0</v>
      </c>
      <c r="W29" s="845" t="s">
        <v>653</v>
      </c>
      <c r="X29" s="856"/>
      <c r="Y29" s="856"/>
      <c r="Z29" s="857"/>
      <c r="AA29" s="857"/>
      <c r="AB29" s="857"/>
      <c r="AC29" s="857"/>
      <c r="AD29" s="857"/>
      <c r="AE29" s="857"/>
      <c r="AF29" s="857"/>
    </row>
    <row r="30" spans="1:32" x14ac:dyDescent="0.25">
      <c r="A30" s="846" t="s">
        <v>16</v>
      </c>
      <c r="B30" s="836" t="s">
        <v>1497</v>
      </c>
      <c r="C30" s="841">
        <f>SUM(C31:C39)</f>
        <v>0</v>
      </c>
      <c r="D30" s="838" t="s">
        <v>653</v>
      </c>
      <c r="E30" s="848">
        <f>SUM(E31:E39)</f>
        <v>0</v>
      </c>
      <c r="F30" s="840" t="s">
        <v>653</v>
      </c>
      <c r="G30" s="848">
        <f>SUM(G31:G39)</f>
        <v>0</v>
      </c>
      <c r="H30" s="841">
        <f>SUM(H31:H39)</f>
        <v>0</v>
      </c>
      <c r="I30" s="838" t="s">
        <v>653</v>
      </c>
      <c r="J30" s="848">
        <f>SUM(J31:J39)</f>
        <v>0</v>
      </c>
      <c r="K30" s="840" t="s">
        <v>653</v>
      </c>
      <c r="L30" s="848">
        <f>SUM(L31:L39)</f>
        <v>0</v>
      </c>
      <c r="M30" s="841">
        <f>SUM(M31:M39)</f>
        <v>0</v>
      </c>
      <c r="N30" s="838" t="s">
        <v>653</v>
      </c>
      <c r="O30" s="848">
        <f>SUM(O31:O39)</f>
        <v>0</v>
      </c>
      <c r="P30" s="840" t="s">
        <v>653</v>
      </c>
      <c r="Q30" s="848">
        <f>SUM(Q31:Q39)</f>
        <v>0</v>
      </c>
      <c r="R30" s="841">
        <f>SUM(R31:R39)</f>
        <v>0</v>
      </c>
      <c r="S30" s="842">
        <f>SUM(E30,J30,O30)</f>
        <v>0</v>
      </c>
      <c r="T30" s="843" t="s">
        <v>653</v>
      </c>
      <c r="U30" s="843" t="s">
        <v>653</v>
      </c>
      <c r="V30" s="844" t="str">
        <f t="shared" si="0"/>
        <v>0</v>
      </c>
      <c r="W30" s="845" t="s">
        <v>653</v>
      </c>
      <c r="X30" s="460"/>
      <c r="Y30" s="460"/>
      <c r="Z30" s="684"/>
      <c r="AA30" s="684"/>
      <c r="AB30" s="684"/>
      <c r="AC30" s="684"/>
      <c r="AD30" s="684"/>
      <c r="AE30" s="684"/>
      <c r="AF30" s="684"/>
    </row>
    <row r="31" spans="1:32" x14ac:dyDescent="0.25">
      <c r="A31" s="846" t="s">
        <v>376</v>
      </c>
      <c r="B31" s="849"/>
      <c r="C31" s="837"/>
      <c r="D31" s="838" t="s">
        <v>653</v>
      </c>
      <c r="E31" s="839"/>
      <c r="F31" s="840" t="s">
        <v>653</v>
      </c>
      <c r="G31" s="839"/>
      <c r="H31" s="837"/>
      <c r="I31" s="838" t="s">
        <v>653</v>
      </c>
      <c r="J31" s="839"/>
      <c r="K31" s="840" t="s">
        <v>653</v>
      </c>
      <c r="L31" s="839"/>
      <c r="M31" s="837"/>
      <c r="N31" s="838" t="s">
        <v>653</v>
      </c>
      <c r="O31" s="839"/>
      <c r="P31" s="840" t="s">
        <v>653</v>
      </c>
      <c r="Q31" s="839"/>
      <c r="R31" s="850">
        <f>SUM(C31,H31,M31)</f>
        <v>0</v>
      </c>
      <c r="S31" s="851">
        <f>SUM(E31,J31,O31)</f>
        <v>0</v>
      </c>
      <c r="T31" s="843" t="s">
        <v>653</v>
      </c>
      <c r="U31" s="843" t="s">
        <v>653</v>
      </c>
      <c r="V31" s="852" t="str">
        <f t="shared" si="0"/>
        <v>0</v>
      </c>
      <c r="W31" s="845" t="s">
        <v>653</v>
      </c>
      <c r="X31" s="460"/>
      <c r="Y31" s="460"/>
      <c r="Z31" s="684"/>
      <c r="AA31" s="684"/>
      <c r="AB31" s="684"/>
      <c r="AC31" s="684"/>
      <c r="AD31" s="684"/>
      <c r="AE31" s="684"/>
      <c r="AF31" s="684"/>
    </row>
    <row r="32" spans="1:32" x14ac:dyDescent="0.25">
      <c r="A32" s="846" t="s">
        <v>1498</v>
      </c>
      <c r="B32" s="849"/>
      <c r="C32" s="837"/>
      <c r="D32" s="838" t="s">
        <v>653</v>
      </c>
      <c r="E32" s="839"/>
      <c r="F32" s="840" t="s">
        <v>653</v>
      </c>
      <c r="G32" s="839"/>
      <c r="H32" s="837"/>
      <c r="I32" s="838" t="s">
        <v>653</v>
      </c>
      <c r="J32" s="839"/>
      <c r="K32" s="840" t="s">
        <v>653</v>
      </c>
      <c r="L32" s="839"/>
      <c r="M32" s="837"/>
      <c r="N32" s="838" t="s">
        <v>653</v>
      </c>
      <c r="O32" s="839"/>
      <c r="P32" s="840" t="s">
        <v>653</v>
      </c>
      <c r="Q32" s="839"/>
      <c r="R32" s="850">
        <f t="shared" ref="R32:R39" si="5">SUM(C32,H32,M32)</f>
        <v>0</v>
      </c>
      <c r="S32" s="851">
        <f t="shared" ref="S32:S39" si="6">SUM(E32,J32,O32)</f>
        <v>0</v>
      </c>
      <c r="T32" s="843" t="s">
        <v>653</v>
      </c>
      <c r="U32" s="843" t="s">
        <v>653</v>
      </c>
      <c r="V32" s="852" t="str">
        <f t="shared" si="0"/>
        <v>0</v>
      </c>
      <c r="W32" s="845" t="s">
        <v>653</v>
      </c>
      <c r="X32" s="460"/>
      <c r="Y32" s="460"/>
      <c r="Z32" s="684"/>
      <c r="AA32" s="684"/>
      <c r="AB32" s="684"/>
      <c r="AC32" s="684"/>
      <c r="AD32" s="684"/>
      <c r="AE32" s="684"/>
      <c r="AF32" s="684"/>
    </row>
    <row r="33" spans="1:32" x14ac:dyDescent="0.25">
      <c r="A33" s="846" t="s">
        <v>1499</v>
      </c>
      <c r="B33" s="849"/>
      <c r="C33" s="837"/>
      <c r="D33" s="838" t="s">
        <v>653</v>
      </c>
      <c r="E33" s="839"/>
      <c r="F33" s="840" t="s">
        <v>653</v>
      </c>
      <c r="G33" s="839"/>
      <c r="H33" s="837"/>
      <c r="I33" s="838" t="s">
        <v>653</v>
      </c>
      <c r="J33" s="839"/>
      <c r="K33" s="840" t="s">
        <v>653</v>
      </c>
      <c r="L33" s="839"/>
      <c r="M33" s="837"/>
      <c r="N33" s="838" t="s">
        <v>653</v>
      </c>
      <c r="O33" s="839"/>
      <c r="P33" s="840" t="s">
        <v>653</v>
      </c>
      <c r="Q33" s="839"/>
      <c r="R33" s="850">
        <f t="shared" si="5"/>
        <v>0</v>
      </c>
      <c r="S33" s="851">
        <f t="shared" si="6"/>
        <v>0</v>
      </c>
      <c r="T33" s="843" t="s">
        <v>653</v>
      </c>
      <c r="U33" s="843" t="s">
        <v>653</v>
      </c>
      <c r="V33" s="852" t="str">
        <f t="shared" si="0"/>
        <v>0</v>
      </c>
      <c r="W33" s="845" t="s">
        <v>653</v>
      </c>
      <c r="X33" s="460"/>
      <c r="Y33" s="460"/>
      <c r="Z33" s="684"/>
      <c r="AA33" s="684"/>
      <c r="AB33" s="684"/>
      <c r="AC33" s="684"/>
      <c r="AD33" s="684"/>
      <c r="AE33" s="684"/>
      <c r="AF33" s="684"/>
    </row>
    <row r="34" spans="1:32" x14ac:dyDescent="0.25">
      <c r="A34" s="846" t="s">
        <v>1500</v>
      </c>
      <c r="B34" s="849"/>
      <c r="C34" s="837"/>
      <c r="D34" s="838" t="s">
        <v>653</v>
      </c>
      <c r="E34" s="839"/>
      <c r="F34" s="840" t="s">
        <v>653</v>
      </c>
      <c r="G34" s="839"/>
      <c r="H34" s="837"/>
      <c r="I34" s="838" t="s">
        <v>653</v>
      </c>
      <c r="J34" s="839"/>
      <c r="K34" s="840" t="s">
        <v>653</v>
      </c>
      <c r="L34" s="839"/>
      <c r="M34" s="837"/>
      <c r="N34" s="838" t="s">
        <v>653</v>
      </c>
      <c r="O34" s="839"/>
      <c r="P34" s="840" t="s">
        <v>653</v>
      </c>
      <c r="Q34" s="839"/>
      <c r="R34" s="850">
        <f t="shared" si="5"/>
        <v>0</v>
      </c>
      <c r="S34" s="851">
        <f t="shared" si="6"/>
        <v>0</v>
      </c>
      <c r="T34" s="843" t="s">
        <v>653</v>
      </c>
      <c r="U34" s="843" t="s">
        <v>653</v>
      </c>
      <c r="V34" s="852" t="str">
        <f t="shared" si="0"/>
        <v>0</v>
      </c>
      <c r="W34" s="845" t="s">
        <v>653</v>
      </c>
      <c r="X34" s="460"/>
      <c r="Y34" s="460"/>
      <c r="Z34" s="684"/>
      <c r="AA34" s="684"/>
      <c r="AB34" s="684"/>
      <c r="AC34" s="684"/>
      <c r="AD34" s="684"/>
      <c r="AE34" s="684"/>
      <c r="AF34" s="684"/>
    </row>
    <row r="35" spans="1:32" x14ac:dyDescent="0.25">
      <c r="A35" s="846" t="s">
        <v>1501</v>
      </c>
      <c r="B35" s="849"/>
      <c r="C35" s="837"/>
      <c r="D35" s="838" t="s">
        <v>653</v>
      </c>
      <c r="E35" s="839"/>
      <c r="F35" s="840" t="s">
        <v>653</v>
      </c>
      <c r="G35" s="839"/>
      <c r="H35" s="837"/>
      <c r="I35" s="838" t="s">
        <v>653</v>
      </c>
      <c r="J35" s="839"/>
      <c r="K35" s="840" t="s">
        <v>653</v>
      </c>
      <c r="L35" s="839"/>
      <c r="M35" s="837"/>
      <c r="N35" s="838" t="s">
        <v>653</v>
      </c>
      <c r="O35" s="839"/>
      <c r="P35" s="840" t="s">
        <v>653</v>
      </c>
      <c r="Q35" s="839"/>
      <c r="R35" s="850">
        <f t="shared" si="5"/>
        <v>0</v>
      </c>
      <c r="S35" s="851">
        <f t="shared" si="6"/>
        <v>0</v>
      </c>
      <c r="T35" s="843" t="s">
        <v>653</v>
      </c>
      <c r="U35" s="843" t="s">
        <v>653</v>
      </c>
      <c r="V35" s="852" t="str">
        <f t="shared" si="0"/>
        <v>0</v>
      </c>
      <c r="W35" s="845" t="s">
        <v>653</v>
      </c>
      <c r="X35" s="460"/>
      <c r="Y35" s="460"/>
      <c r="Z35" s="684"/>
      <c r="AA35" s="684"/>
      <c r="AB35" s="684"/>
      <c r="AC35" s="684"/>
      <c r="AD35" s="684"/>
      <c r="AE35" s="684"/>
      <c r="AF35" s="684"/>
    </row>
    <row r="36" spans="1:32" x14ac:dyDescent="0.25">
      <c r="A36" s="846" t="s">
        <v>1502</v>
      </c>
      <c r="B36" s="849"/>
      <c r="C36" s="837"/>
      <c r="D36" s="838" t="s">
        <v>653</v>
      </c>
      <c r="E36" s="839"/>
      <c r="F36" s="840" t="s">
        <v>653</v>
      </c>
      <c r="G36" s="839"/>
      <c r="H36" s="837"/>
      <c r="I36" s="838" t="s">
        <v>653</v>
      </c>
      <c r="J36" s="839"/>
      <c r="K36" s="840" t="s">
        <v>653</v>
      </c>
      <c r="L36" s="839"/>
      <c r="M36" s="837"/>
      <c r="N36" s="838" t="s">
        <v>653</v>
      </c>
      <c r="O36" s="839"/>
      <c r="P36" s="840" t="s">
        <v>653</v>
      </c>
      <c r="Q36" s="839"/>
      <c r="R36" s="850">
        <f t="shared" si="5"/>
        <v>0</v>
      </c>
      <c r="S36" s="851">
        <f t="shared" si="6"/>
        <v>0</v>
      </c>
      <c r="T36" s="843" t="s">
        <v>653</v>
      </c>
      <c r="U36" s="843" t="s">
        <v>653</v>
      </c>
      <c r="V36" s="852" t="str">
        <f t="shared" si="0"/>
        <v>0</v>
      </c>
      <c r="W36" s="845" t="s">
        <v>653</v>
      </c>
      <c r="X36" s="460"/>
      <c r="Y36" s="460"/>
      <c r="Z36" s="684"/>
      <c r="AA36" s="684"/>
      <c r="AB36" s="684"/>
      <c r="AC36" s="684"/>
      <c r="AD36" s="684"/>
      <c r="AE36" s="684"/>
      <c r="AF36" s="684"/>
    </row>
    <row r="37" spans="1:32" x14ac:dyDescent="0.25">
      <c r="A37" s="846" t="s">
        <v>1503</v>
      </c>
      <c r="B37" s="853"/>
      <c r="C37" s="858"/>
      <c r="D37" s="838" t="s">
        <v>653</v>
      </c>
      <c r="E37" s="859"/>
      <c r="F37" s="840" t="s">
        <v>653</v>
      </c>
      <c r="G37" s="859"/>
      <c r="H37" s="858"/>
      <c r="I37" s="838" t="s">
        <v>653</v>
      </c>
      <c r="J37" s="859"/>
      <c r="K37" s="840" t="s">
        <v>653</v>
      </c>
      <c r="L37" s="859"/>
      <c r="M37" s="858"/>
      <c r="N37" s="838" t="s">
        <v>653</v>
      </c>
      <c r="O37" s="859"/>
      <c r="P37" s="840" t="s">
        <v>653</v>
      </c>
      <c r="Q37" s="859"/>
      <c r="R37" s="850">
        <f t="shared" si="5"/>
        <v>0</v>
      </c>
      <c r="S37" s="851">
        <f t="shared" si="6"/>
        <v>0</v>
      </c>
      <c r="T37" s="843" t="s">
        <v>653</v>
      </c>
      <c r="U37" s="843" t="s">
        <v>653</v>
      </c>
      <c r="V37" s="852" t="str">
        <f t="shared" si="0"/>
        <v>0</v>
      </c>
      <c r="W37" s="845" t="s">
        <v>653</v>
      </c>
      <c r="X37" s="856"/>
      <c r="Y37" s="856"/>
      <c r="Z37" s="857"/>
      <c r="AA37" s="857"/>
      <c r="AB37" s="857"/>
      <c r="AC37" s="857"/>
      <c r="AD37" s="857"/>
      <c r="AE37" s="857"/>
      <c r="AF37" s="857"/>
    </row>
    <row r="38" spans="1:32" x14ac:dyDescent="0.25">
      <c r="A38" s="846" t="s">
        <v>1504</v>
      </c>
      <c r="B38" s="853"/>
      <c r="C38" s="858"/>
      <c r="D38" s="838" t="s">
        <v>653</v>
      </c>
      <c r="E38" s="859"/>
      <c r="F38" s="840" t="s">
        <v>653</v>
      </c>
      <c r="G38" s="859"/>
      <c r="H38" s="858"/>
      <c r="I38" s="838" t="s">
        <v>653</v>
      </c>
      <c r="J38" s="859"/>
      <c r="K38" s="840" t="s">
        <v>653</v>
      </c>
      <c r="L38" s="859"/>
      <c r="M38" s="858"/>
      <c r="N38" s="838" t="s">
        <v>653</v>
      </c>
      <c r="O38" s="859"/>
      <c r="P38" s="840" t="s">
        <v>653</v>
      </c>
      <c r="Q38" s="859"/>
      <c r="R38" s="850">
        <f t="shared" si="5"/>
        <v>0</v>
      </c>
      <c r="S38" s="851">
        <f t="shared" si="6"/>
        <v>0</v>
      </c>
      <c r="T38" s="843" t="s">
        <v>653</v>
      </c>
      <c r="U38" s="843" t="s">
        <v>653</v>
      </c>
      <c r="V38" s="852" t="str">
        <f t="shared" si="0"/>
        <v>0</v>
      </c>
      <c r="W38" s="845" t="s">
        <v>653</v>
      </c>
      <c r="X38" s="856"/>
      <c r="Y38" s="856"/>
      <c r="Z38" s="857"/>
      <c r="AA38" s="857"/>
      <c r="AB38" s="857"/>
      <c r="AC38" s="857"/>
      <c r="AD38" s="857"/>
      <c r="AE38" s="857"/>
      <c r="AF38" s="857"/>
    </row>
    <row r="39" spans="1:32" x14ac:dyDescent="0.25">
      <c r="A39" s="846" t="s">
        <v>1505</v>
      </c>
      <c r="B39" s="853"/>
      <c r="C39" s="858"/>
      <c r="D39" s="838" t="s">
        <v>653</v>
      </c>
      <c r="E39" s="859"/>
      <c r="F39" s="840" t="s">
        <v>653</v>
      </c>
      <c r="G39" s="859"/>
      <c r="H39" s="858"/>
      <c r="I39" s="838" t="s">
        <v>653</v>
      </c>
      <c r="J39" s="859"/>
      <c r="K39" s="840" t="s">
        <v>653</v>
      </c>
      <c r="L39" s="859"/>
      <c r="M39" s="858"/>
      <c r="N39" s="838" t="s">
        <v>653</v>
      </c>
      <c r="O39" s="859"/>
      <c r="P39" s="840" t="s">
        <v>653</v>
      </c>
      <c r="Q39" s="859"/>
      <c r="R39" s="850">
        <f t="shared" si="5"/>
        <v>0</v>
      </c>
      <c r="S39" s="851">
        <f t="shared" si="6"/>
        <v>0</v>
      </c>
      <c r="T39" s="843" t="s">
        <v>653</v>
      </c>
      <c r="U39" s="843" t="s">
        <v>653</v>
      </c>
      <c r="V39" s="852" t="str">
        <f t="shared" si="0"/>
        <v>0</v>
      </c>
      <c r="W39" s="845" t="s">
        <v>653</v>
      </c>
      <c r="X39" s="856"/>
      <c r="Y39" s="856"/>
      <c r="Z39" s="857"/>
      <c r="AA39" s="857"/>
      <c r="AB39" s="857"/>
      <c r="AC39" s="857"/>
      <c r="AD39" s="857"/>
      <c r="AE39" s="857"/>
      <c r="AF39" s="857"/>
    </row>
    <row r="40" spans="1:32" x14ac:dyDescent="0.25">
      <c r="A40" s="846" t="s">
        <v>18</v>
      </c>
      <c r="B40" s="847" t="s">
        <v>1506</v>
      </c>
      <c r="C40" s="841">
        <f>SUM(C41:C48)</f>
        <v>9326.89</v>
      </c>
      <c r="D40" s="838" t="s">
        <v>653</v>
      </c>
      <c r="E40" s="848">
        <f>SUM(E41:E48)</f>
        <v>0</v>
      </c>
      <c r="F40" s="840" t="s">
        <v>653</v>
      </c>
      <c r="G40" s="848">
        <f>SUM(G41:G48)</f>
        <v>0</v>
      </c>
      <c r="H40" s="841">
        <f>SUM(H41:H48)</f>
        <v>10546.759999999998</v>
      </c>
      <c r="I40" s="838" t="s">
        <v>653</v>
      </c>
      <c r="J40" s="848">
        <f>SUM(J41:J48)</f>
        <v>0</v>
      </c>
      <c r="K40" s="840" t="s">
        <v>653</v>
      </c>
      <c r="L40" s="848">
        <f>SUM(L41:L48)</f>
        <v>0</v>
      </c>
      <c r="M40" s="841">
        <f>SUM(M41:M48)</f>
        <v>9516.3799999999992</v>
      </c>
      <c r="N40" s="838" t="s">
        <v>653</v>
      </c>
      <c r="O40" s="848">
        <f>SUM(O41:O48)</f>
        <v>0</v>
      </c>
      <c r="P40" s="840" t="s">
        <v>653</v>
      </c>
      <c r="Q40" s="848">
        <f>SUM(Q41:Q48)</f>
        <v>0</v>
      </c>
      <c r="R40" s="841">
        <f>SUM(R41:R48)</f>
        <v>29390.03</v>
      </c>
      <c r="S40" s="842">
        <f>SUM(E40,J40,O40)</f>
        <v>0</v>
      </c>
      <c r="T40" s="843" t="s">
        <v>653</v>
      </c>
      <c r="U40" s="843" t="s">
        <v>653</v>
      </c>
      <c r="V40" s="844">
        <f t="shared" si="0"/>
        <v>0</v>
      </c>
      <c r="W40" s="845" t="s">
        <v>653</v>
      </c>
      <c r="X40" s="460"/>
      <c r="Y40" s="460"/>
      <c r="Z40" s="684"/>
      <c r="AA40" s="684"/>
      <c r="AB40" s="684"/>
      <c r="AC40" s="684"/>
      <c r="AD40" s="684"/>
      <c r="AE40" s="684"/>
      <c r="AF40" s="684"/>
    </row>
    <row r="41" spans="1:32" x14ac:dyDescent="0.25">
      <c r="A41" s="846" t="s">
        <v>322</v>
      </c>
      <c r="B41" s="849" t="s">
        <v>1606</v>
      </c>
      <c r="C41" s="837">
        <v>1252.8599999999999</v>
      </c>
      <c r="D41" s="838" t="s">
        <v>653</v>
      </c>
      <c r="E41" s="839"/>
      <c r="F41" s="840" t="s">
        <v>653</v>
      </c>
      <c r="G41" s="839"/>
      <c r="H41" s="837">
        <v>937.28</v>
      </c>
      <c r="I41" s="838" t="s">
        <v>653</v>
      </c>
      <c r="J41" s="839"/>
      <c r="K41" s="840" t="s">
        <v>653</v>
      </c>
      <c r="L41" s="839"/>
      <c r="M41" s="837">
        <v>937.28</v>
      </c>
      <c r="N41" s="838" t="s">
        <v>653</v>
      </c>
      <c r="O41" s="839"/>
      <c r="P41" s="840" t="s">
        <v>653</v>
      </c>
      <c r="Q41" s="839"/>
      <c r="R41" s="850">
        <f>SUM(C41,H41,M41)</f>
        <v>3127.42</v>
      </c>
      <c r="S41" s="851">
        <f>SUM(E41,J41,O41)</f>
        <v>0</v>
      </c>
      <c r="T41" s="843" t="s">
        <v>653</v>
      </c>
      <c r="U41" s="843" t="s">
        <v>653</v>
      </c>
      <c r="V41" s="852">
        <f t="shared" si="0"/>
        <v>0</v>
      </c>
      <c r="W41" s="845" t="s">
        <v>653</v>
      </c>
      <c r="X41" s="460"/>
      <c r="Y41" s="460"/>
      <c r="Z41" s="684"/>
      <c r="AA41" s="684"/>
      <c r="AB41" s="684"/>
      <c r="AC41" s="684"/>
      <c r="AD41" s="684"/>
      <c r="AE41" s="684"/>
      <c r="AF41" s="684"/>
    </row>
    <row r="42" spans="1:32" x14ac:dyDescent="0.25">
      <c r="A42" s="846" t="s">
        <v>324</v>
      </c>
      <c r="B42" s="849" t="s">
        <v>1607</v>
      </c>
      <c r="C42" s="837">
        <v>5678.76</v>
      </c>
      <c r="D42" s="838" t="s">
        <v>653</v>
      </c>
      <c r="E42" s="839"/>
      <c r="F42" s="840" t="s">
        <v>653</v>
      </c>
      <c r="G42" s="839"/>
      <c r="H42" s="837">
        <v>4256.71</v>
      </c>
      <c r="I42" s="838" t="s">
        <v>653</v>
      </c>
      <c r="J42" s="839"/>
      <c r="K42" s="840" t="s">
        <v>653</v>
      </c>
      <c r="L42" s="839"/>
      <c r="M42" s="837">
        <v>4256.71</v>
      </c>
      <c r="N42" s="838" t="s">
        <v>653</v>
      </c>
      <c r="O42" s="839"/>
      <c r="P42" s="840" t="s">
        <v>653</v>
      </c>
      <c r="Q42" s="839"/>
      <c r="R42" s="850">
        <f t="shared" ref="R42:R48" si="7">SUM(C42,H42,M42)</f>
        <v>14192.18</v>
      </c>
      <c r="S42" s="851">
        <f t="shared" ref="S42:S48" si="8">SUM(E42,J42,O42)</f>
        <v>0</v>
      </c>
      <c r="T42" s="843" t="s">
        <v>653</v>
      </c>
      <c r="U42" s="843" t="s">
        <v>653</v>
      </c>
      <c r="V42" s="852">
        <f t="shared" si="0"/>
        <v>0</v>
      </c>
      <c r="W42" s="845" t="s">
        <v>653</v>
      </c>
      <c r="X42" s="460"/>
      <c r="Y42" s="460"/>
      <c r="Z42" s="684"/>
      <c r="AA42" s="684"/>
      <c r="AB42" s="684"/>
      <c r="AC42" s="684"/>
      <c r="AD42" s="684"/>
      <c r="AE42" s="684"/>
      <c r="AF42" s="684"/>
    </row>
    <row r="43" spans="1:32" x14ac:dyDescent="0.25">
      <c r="A43" s="846" t="s">
        <v>1507</v>
      </c>
      <c r="B43" s="849" t="s">
        <v>1608</v>
      </c>
      <c r="C43" s="837">
        <v>1613.25</v>
      </c>
      <c r="D43" s="838" t="s">
        <v>653</v>
      </c>
      <c r="E43" s="839"/>
      <c r="F43" s="840" t="s">
        <v>653</v>
      </c>
      <c r="G43" s="839"/>
      <c r="H43" s="837">
        <v>1207.58</v>
      </c>
      <c r="I43" s="838" t="s">
        <v>653</v>
      </c>
      <c r="J43" s="839"/>
      <c r="K43" s="840" t="s">
        <v>653</v>
      </c>
      <c r="L43" s="839"/>
      <c r="M43" s="837">
        <v>1207.58</v>
      </c>
      <c r="N43" s="838" t="s">
        <v>653</v>
      </c>
      <c r="O43" s="839"/>
      <c r="P43" s="840" t="s">
        <v>653</v>
      </c>
      <c r="Q43" s="839"/>
      <c r="R43" s="850">
        <f t="shared" si="7"/>
        <v>4028.41</v>
      </c>
      <c r="S43" s="851">
        <f t="shared" si="8"/>
        <v>0</v>
      </c>
      <c r="T43" s="843" t="s">
        <v>653</v>
      </c>
      <c r="U43" s="843" t="s">
        <v>653</v>
      </c>
      <c r="V43" s="852">
        <f t="shared" si="0"/>
        <v>0</v>
      </c>
      <c r="W43" s="845" t="s">
        <v>653</v>
      </c>
      <c r="X43" s="460"/>
      <c r="Y43" s="460"/>
      <c r="Z43" s="684"/>
      <c r="AA43" s="684"/>
      <c r="AB43" s="684"/>
      <c r="AC43" s="684"/>
      <c r="AD43" s="684"/>
      <c r="AE43" s="684"/>
      <c r="AF43" s="684"/>
    </row>
    <row r="44" spans="1:32" x14ac:dyDescent="0.25">
      <c r="A44" s="846" t="s">
        <v>1508</v>
      </c>
      <c r="B44" s="849" t="s">
        <v>1609</v>
      </c>
      <c r="C44" s="837">
        <v>266.83</v>
      </c>
      <c r="D44" s="838" t="s">
        <v>653</v>
      </c>
      <c r="E44" s="839"/>
      <c r="F44" s="840" t="s">
        <v>653</v>
      </c>
      <c r="G44" s="839"/>
      <c r="H44" s="837">
        <v>195.4</v>
      </c>
      <c r="I44" s="838" t="s">
        <v>653</v>
      </c>
      <c r="J44" s="839"/>
      <c r="K44" s="840" t="s">
        <v>653</v>
      </c>
      <c r="L44" s="839"/>
      <c r="M44" s="837">
        <v>195.4</v>
      </c>
      <c r="N44" s="838" t="s">
        <v>653</v>
      </c>
      <c r="O44" s="839"/>
      <c r="P44" s="840" t="s">
        <v>653</v>
      </c>
      <c r="Q44" s="839"/>
      <c r="R44" s="850">
        <f t="shared" si="7"/>
        <v>657.63</v>
      </c>
      <c r="S44" s="851">
        <f t="shared" si="8"/>
        <v>0</v>
      </c>
      <c r="T44" s="843" t="s">
        <v>653</v>
      </c>
      <c r="U44" s="843" t="s">
        <v>653</v>
      </c>
      <c r="V44" s="852">
        <f t="shared" si="0"/>
        <v>0</v>
      </c>
      <c r="W44" s="845" t="s">
        <v>653</v>
      </c>
      <c r="X44" s="460"/>
      <c r="Y44" s="460"/>
      <c r="Z44" s="684"/>
      <c r="AA44" s="684"/>
      <c r="AB44" s="684"/>
      <c r="AC44" s="684"/>
      <c r="AD44" s="684"/>
      <c r="AE44" s="684"/>
      <c r="AF44" s="684"/>
    </row>
    <row r="45" spans="1:32" x14ac:dyDescent="0.25">
      <c r="A45" s="846" t="s">
        <v>1509</v>
      </c>
      <c r="B45" s="849" t="s">
        <v>1615</v>
      </c>
      <c r="C45" s="837">
        <v>106.99</v>
      </c>
      <c r="D45" s="838" t="s">
        <v>653</v>
      </c>
      <c r="E45" s="839"/>
      <c r="F45" s="840" t="s">
        <v>653</v>
      </c>
      <c r="G45" s="839"/>
      <c r="H45" s="837">
        <v>820.26</v>
      </c>
      <c r="I45" s="838" t="s">
        <v>653</v>
      </c>
      <c r="J45" s="839"/>
      <c r="K45" s="840" t="s">
        <v>653</v>
      </c>
      <c r="L45" s="839"/>
      <c r="M45" s="837">
        <v>606.28</v>
      </c>
      <c r="N45" s="838" t="s">
        <v>653</v>
      </c>
      <c r="O45" s="839"/>
      <c r="P45" s="840" t="s">
        <v>653</v>
      </c>
      <c r="Q45" s="839"/>
      <c r="R45" s="850">
        <f t="shared" si="7"/>
        <v>1533.53</v>
      </c>
      <c r="S45" s="851">
        <f t="shared" si="8"/>
        <v>0</v>
      </c>
      <c r="T45" s="843" t="s">
        <v>653</v>
      </c>
      <c r="U45" s="843" t="s">
        <v>653</v>
      </c>
      <c r="V45" s="852">
        <f t="shared" si="0"/>
        <v>0</v>
      </c>
      <c r="W45" s="845" t="s">
        <v>653</v>
      </c>
      <c r="X45" s="460"/>
      <c r="Y45" s="460"/>
      <c r="Z45" s="684"/>
      <c r="AA45" s="684"/>
      <c r="AB45" s="684"/>
      <c r="AC45" s="684"/>
      <c r="AD45" s="684"/>
      <c r="AE45" s="684"/>
      <c r="AF45" s="684"/>
    </row>
    <row r="46" spans="1:32" x14ac:dyDescent="0.25">
      <c r="A46" s="846" t="s">
        <v>1510</v>
      </c>
      <c r="B46" s="849" t="s">
        <v>1612</v>
      </c>
      <c r="C46" s="837">
        <v>67.7</v>
      </c>
      <c r="D46" s="838" t="s">
        <v>653</v>
      </c>
      <c r="E46" s="839"/>
      <c r="F46" s="840" t="s">
        <v>653</v>
      </c>
      <c r="G46" s="839"/>
      <c r="H46" s="837">
        <v>519.03</v>
      </c>
      <c r="I46" s="838" t="s">
        <v>653</v>
      </c>
      <c r="J46" s="839"/>
      <c r="K46" s="840" t="s">
        <v>653</v>
      </c>
      <c r="L46" s="839"/>
      <c r="M46" s="837">
        <v>383.63</v>
      </c>
      <c r="N46" s="838" t="s">
        <v>653</v>
      </c>
      <c r="O46" s="839"/>
      <c r="P46" s="840" t="s">
        <v>653</v>
      </c>
      <c r="Q46" s="839"/>
      <c r="R46" s="850">
        <f t="shared" si="7"/>
        <v>970.36</v>
      </c>
      <c r="S46" s="851">
        <f t="shared" si="8"/>
        <v>0</v>
      </c>
      <c r="T46" s="843" t="s">
        <v>653</v>
      </c>
      <c r="U46" s="843" t="s">
        <v>653</v>
      </c>
      <c r="V46" s="852">
        <f t="shared" si="0"/>
        <v>0</v>
      </c>
      <c r="W46" s="845" t="s">
        <v>653</v>
      </c>
      <c r="X46" s="460"/>
      <c r="Y46" s="460"/>
      <c r="Z46" s="684"/>
      <c r="AA46" s="684"/>
      <c r="AB46" s="684"/>
      <c r="AC46" s="684"/>
      <c r="AD46" s="684"/>
      <c r="AE46" s="684"/>
      <c r="AF46" s="684"/>
    </row>
    <row r="47" spans="1:32" x14ac:dyDescent="0.25">
      <c r="A47" s="846" t="s">
        <v>1511</v>
      </c>
      <c r="B47" s="853" t="s">
        <v>1613</v>
      </c>
      <c r="C47" s="854">
        <v>163.71</v>
      </c>
      <c r="D47" s="838" t="s">
        <v>653</v>
      </c>
      <c r="E47" s="855"/>
      <c r="F47" s="840" t="s">
        <v>653</v>
      </c>
      <c r="G47" s="855"/>
      <c r="H47" s="854">
        <v>1255.1099999999999</v>
      </c>
      <c r="I47" s="838" t="s">
        <v>653</v>
      </c>
      <c r="J47" s="855"/>
      <c r="K47" s="840" t="s">
        <v>653</v>
      </c>
      <c r="L47" s="855"/>
      <c r="M47" s="854">
        <v>927.69</v>
      </c>
      <c r="N47" s="838" t="s">
        <v>653</v>
      </c>
      <c r="O47" s="855"/>
      <c r="P47" s="840" t="s">
        <v>653</v>
      </c>
      <c r="Q47" s="855"/>
      <c r="R47" s="850">
        <f t="shared" si="7"/>
        <v>2346.5100000000002</v>
      </c>
      <c r="S47" s="851">
        <f t="shared" si="8"/>
        <v>0</v>
      </c>
      <c r="T47" s="843" t="s">
        <v>653</v>
      </c>
      <c r="U47" s="843" t="s">
        <v>653</v>
      </c>
      <c r="V47" s="852">
        <f t="shared" si="0"/>
        <v>0</v>
      </c>
      <c r="W47" s="845" t="s">
        <v>653</v>
      </c>
      <c r="X47" s="856"/>
      <c r="Y47" s="856"/>
      <c r="Z47" s="857"/>
      <c r="AA47" s="857"/>
      <c r="AB47" s="857"/>
      <c r="AC47" s="857"/>
      <c r="AD47" s="857"/>
      <c r="AE47" s="857"/>
      <c r="AF47" s="857"/>
    </row>
    <row r="48" spans="1:32" x14ac:dyDescent="0.25">
      <c r="A48" s="846" t="s">
        <v>1512</v>
      </c>
      <c r="B48" s="853" t="s">
        <v>1614</v>
      </c>
      <c r="C48" s="854">
        <v>176.79</v>
      </c>
      <c r="D48" s="838" t="s">
        <v>653</v>
      </c>
      <c r="E48" s="855"/>
      <c r="F48" s="840" t="s">
        <v>653</v>
      </c>
      <c r="G48" s="855"/>
      <c r="H48" s="854">
        <v>1355.39</v>
      </c>
      <c r="I48" s="838" t="s">
        <v>653</v>
      </c>
      <c r="J48" s="855"/>
      <c r="K48" s="840" t="s">
        <v>653</v>
      </c>
      <c r="L48" s="855"/>
      <c r="M48" s="854">
        <v>1001.81</v>
      </c>
      <c r="N48" s="838" t="s">
        <v>653</v>
      </c>
      <c r="O48" s="855"/>
      <c r="P48" s="840" t="s">
        <v>653</v>
      </c>
      <c r="Q48" s="855"/>
      <c r="R48" s="850">
        <f t="shared" si="7"/>
        <v>2533.9899999999998</v>
      </c>
      <c r="S48" s="851">
        <f t="shared" si="8"/>
        <v>0</v>
      </c>
      <c r="T48" s="843" t="s">
        <v>653</v>
      </c>
      <c r="U48" s="843" t="s">
        <v>653</v>
      </c>
      <c r="V48" s="852">
        <f t="shared" si="0"/>
        <v>0</v>
      </c>
      <c r="W48" s="845" t="s">
        <v>653</v>
      </c>
      <c r="X48" s="856"/>
      <c r="Y48" s="856"/>
      <c r="Z48" s="857"/>
      <c r="AA48" s="857"/>
      <c r="AB48" s="857"/>
      <c r="AC48" s="857"/>
      <c r="AD48" s="857"/>
      <c r="AE48" s="857"/>
      <c r="AF48" s="857"/>
    </row>
    <row r="49" spans="1:32" x14ac:dyDescent="0.25">
      <c r="A49" s="846" t="s">
        <v>20</v>
      </c>
      <c r="B49" s="836" t="s">
        <v>1513</v>
      </c>
      <c r="C49" s="860">
        <f>SUM(C50:C56)</f>
        <v>0</v>
      </c>
      <c r="D49" s="861" t="s">
        <v>653</v>
      </c>
      <c r="E49" s="862">
        <f>SUM(E50:E56)</f>
        <v>0</v>
      </c>
      <c r="F49" s="863" t="s">
        <v>653</v>
      </c>
      <c r="G49" s="862">
        <f>SUM(G50:G56)</f>
        <v>0</v>
      </c>
      <c r="H49" s="860">
        <f>SUM(H50:H56)</f>
        <v>0</v>
      </c>
      <c r="I49" s="861" t="s">
        <v>653</v>
      </c>
      <c r="J49" s="862">
        <f>SUM(J50:J56)</f>
        <v>0</v>
      </c>
      <c r="K49" s="863" t="s">
        <v>653</v>
      </c>
      <c r="L49" s="862">
        <f>SUM(L50:L56)</f>
        <v>0</v>
      </c>
      <c r="M49" s="860">
        <f>SUM(M50:M56)</f>
        <v>0</v>
      </c>
      <c r="N49" s="861" t="s">
        <v>653</v>
      </c>
      <c r="O49" s="862">
        <f>SUM(O50:O56)</f>
        <v>0</v>
      </c>
      <c r="P49" s="863" t="s">
        <v>653</v>
      </c>
      <c r="Q49" s="862">
        <f>SUM(Q50:Q56)</f>
        <v>0</v>
      </c>
      <c r="R49" s="860">
        <f>SUM(C49,H49,M49)</f>
        <v>0</v>
      </c>
      <c r="S49" s="842">
        <f>SUM(E49,J49,O49)</f>
        <v>0</v>
      </c>
      <c r="T49" s="864" t="s">
        <v>653</v>
      </c>
      <c r="U49" s="864" t="s">
        <v>653</v>
      </c>
      <c r="V49" s="844" t="str">
        <f t="shared" si="0"/>
        <v>0</v>
      </c>
      <c r="W49" s="865" t="s">
        <v>653</v>
      </c>
      <c r="X49" s="856"/>
      <c r="Y49" s="856"/>
      <c r="Z49" s="857"/>
      <c r="AA49" s="857"/>
      <c r="AB49" s="857"/>
      <c r="AC49" s="857"/>
      <c r="AD49" s="857"/>
      <c r="AE49" s="857"/>
      <c r="AF49" s="857"/>
    </row>
    <row r="50" spans="1:32" x14ac:dyDescent="0.25">
      <c r="A50" s="750" t="s">
        <v>743</v>
      </c>
      <c r="B50" s="866" t="s">
        <v>1514</v>
      </c>
      <c r="C50" s="837"/>
      <c r="D50" s="838" t="s">
        <v>653</v>
      </c>
      <c r="E50" s="867"/>
      <c r="F50" s="840" t="s">
        <v>653</v>
      </c>
      <c r="G50" s="839"/>
      <c r="H50" s="837"/>
      <c r="I50" s="838" t="s">
        <v>653</v>
      </c>
      <c r="J50" s="867"/>
      <c r="K50" s="840" t="s">
        <v>653</v>
      </c>
      <c r="L50" s="839"/>
      <c r="M50" s="837"/>
      <c r="N50" s="838" t="s">
        <v>653</v>
      </c>
      <c r="O50" s="867"/>
      <c r="P50" s="840" t="s">
        <v>653</v>
      </c>
      <c r="Q50" s="839"/>
      <c r="R50" s="868">
        <f>SUM(C50,H50,M50)</f>
        <v>0</v>
      </c>
      <c r="S50" s="851">
        <f>SUM(E50,J50,O50)</f>
        <v>0</v>
      </c>
      <c r="T50" s="840" t="s">
        <v>653</v>
      </c>
      <c r="U50" s="843" t="s">
        <v>653</v>
      </c>
      <c r="V50" s="852" t="str">
        <f t="shared" si="0"/>
        <v>0</v>
      </c>
      <c r="W50" s="845" t="s">
        <v>653</v>
      </c>
      <c r="X50" s="856"/>
      <c r="Y50" s="856"/>
      <c r="Z50" s="857"/>
      <c r="AA50" s="857"/>
      <c r="AB50" s="857"/>
      <c r="AC50" s="857"/>
      <c r="AD50" s="857"/>
      <c r="AE50" s="857"/>
      <c r="AF50" s="857"/>
    </row>
    <row r="51" spans="1:32" x14ac:dyDescent="0.25">
      <c r="A51" s="750" t="s">
        <v>744</v>
      </c>
      <c r="B51" s="866" t="s">
        <v>1515</v>
      </c>
      <c r="C51" s="837"/>
      <c r="D51" s="838" t="s">
        <v>653</v>
      </c>
      <c r="E51" s="867"/>
      <c r="F51" s="840" t="s">
        <v>653</v>
      </c>
      <c r="G51" s="839"/>
      <c r="H51" s="837"/>
      <c r="I51" s="838" t="s">
        <v>653</v>
      </c>
      <c r="J51" s="867"/>
      <c r="K51" s="840" t="s">
        <v>653</v>
      </c>
      <c r="L51" s="839"/>
      <c r="M51" s="837"/>
      <c r="N51" s="838" t="s">
        <v>653</v>
      </c>
      <c r="O51" s="867"/>
      <c r="P51" s="840" t="s">
        <v>653</v>
      </c>
      <c r="Q51" s="839"/>
      <c r="R51" s="868">
        <f t="shared" ref="R51:R56" si="9">SUM(C51,H51,M51)</f>
        <v>0</v>
      </c>
      <c r="S51" s="851">
        <f t="shared" ref="S51:S56" si="10">SUM(E51,J51,O51)</f>
        <v>0</v>
      </c>
      <c r="T51" s="840" t="s">
        <v>653</v>
      </c>
      <c r="U51" s="843" t="s">
        <v>653</v>
      </c>
      <c r="V51" s="852" t="str">
        <f t="shared" si="0"/>
        <v>0</v>
      </c>
      <c r="W51" s="845" t="s">
        <v>653</v>
      </c>
      <c r="X51" s="856"/>
      <c r="Y51" s="856"/>
      <c r="Z51" s="857"/>
      <c r="AA51" s="857"/>
      <c r="AB51" s="857"/>
      <c r="AC51" s="857"/>
      <c r="AD51" s="857"/>
      <c r="AE51" s="857"/>
      <c r="AF51" s="857"/>
    </row>
    <row r="52" spans="1:32" x14ac:dyDescent="0.25">
      <c r="A52" s="750" t="s">
        <v>746</v>
      </c>
      <c r="B52" s="866" t="s">
        <v>1516</v>
      </c>
      <c r="C52" s="837"/>
      <c r="D52" s="838" t="s">
        <v>653</v>
      </c>
      <c r="E52" s="867"/>
      <c r="F52" s="840" t="s">
        <v>653</v>
      </c>
      <c r="G52" s="839"/>
      <c r="H52" s="837"/>
      <c r="I52" s="838" t="s">
        <v>653</v>
      </c>
      <c r="J52" s="867"/>
      <c r="K52" s="840" t="s">
        <v>653</v>
      </c>
      <c r="L52" s="839"/>
      <c r="M52" s="837"/>
      <c r="N52" s="838" t="s">
        <v>653</v>
      </c>
      <c r="O52" s="867"/>
      <c r="P52" s="840" t="s">
        <v>653</v>
      </c>
      <c r="Q52" s="839"/>
      <c r="R52" s="868">
        <f t="shared" si="9"/>
        <v>0</v>
      </c>
      <c r="S52" s="851">
        <f t="shared" si="10"/>
        <v>0</v>
      </c>
      <c r="T52" s="840" t="s">
        <v>653</v>
      </c>
      <c r="U52" s="843" t="s">
        <v>653</v>
      </c>
      <c r="V52" s="852" t="str">
        <f t="shared" si="0"/>
        <v>0</v>
      </c>
      <c r="W52" s="845" t="s">
        <v>653</v>
      </c>
      <c r="X52" s="856"/>
      <c r="Y52" s="856"/>
      <c r="Z52" s="857"/>
      <c r="AA52" s="857"/>
      <c r="AB52" s="857"/>
      <c r="AC52" s="857"/>
      <c r="AD52" s="857"/>
      <c r="AE52" s="857"/>
      <c r="AF52" s="857"/>
    </row>
    <row r="53" spans="1:32" x14ac:dyDescent="0.25">
      <c r="A53" s="750" t="s">
        <v>1517</v>
      </c>
      <c r="B53" s="866" t="s">
        <v>1518</v>
      </c>
      <c r="C53" s="837"/>
      <c r="D53" s="838" t="s">
        <v>653</v>
      </c>
      <c r="E53" s="867"/>
      <c r="F53" s="840" t="s">
        <v>653</v>
      </c>
      <c r="G53" s="839"/>
      <c r="H53" s="837"/>
      <c r="I53" s="838" t="s">
        <v>653</v>
      </c>
      <c r="J53" s="867"/>
      <c r="K53" s="840" t="s">
        <v>653</v>
      </c>
      <c r="L53" s="839"/>
      <c r="M53" s="837"/>
      <c r="N53" s="838" t="s">
        <v>653</v>
      </c>
      <c r="O53" s="867"/>
      <c r="P53" s="840" t="s">
        <v>653</v>
      </c>
      <c r="Q53" s="839"/>
      <c r="R53" s="868">
        <f t="shared" si="9"/>
        <v>0</v>
      </c>
      <c r="S53" s="851">
        <f t="shared" si="10"/>
        <v>0</v>
      </c>
      <c r="T53" s="840" t="s">
        <v>653</v>
      </c>
      <c r="U53" s="843" t="s">
        <v>653</v>
      </c>
      <c r="V53" s="852" t="str">
        <f t="shared" si="0"/>
        <v>0</v>
      </c>
      <c r="W53" s="845" t="s">
        <v>653</v>
      </c>
      <c r="X53" s="856"/>
      <c r="Y53" s="856"/>
      <c r="Z53" s="857"/>
      <c r="AA53" s="857"/>
      <c r="AB53" s="857"/>
      <c r="AC53" s="857"/>
      <c r="AD53" s="857"/>
      <c r="AE53" s="857"/>
      <c r="AF53" s="857"/>
    </row>
    <row r="54" spans="1:32" x14ac:dyDescent="0.25">
      <c r="A54" s="750" t="s">
        <v>1519</v>
      </c>
      <c r="B54" s="869"/>
      <c r="C54" s="837"/>
      <c r="D54" s="838" t="s">
        <v>653</v>
      </c>
      <c r="E54" s="867"/>
      <c r="F54" s="840" t="s">
        <v>653</v>
      </c>
      <c r="G54" s="839"/>
      <c r="H54" s="837"/>
      <c r="I54" s="838" t="s">
        <v>653</v>
      </c>
      <c r="J54" s="867"/>
      <c r="K54" s="840" t="s">
        <v>653</v>
      </c>
      <c r="L54" s="839"/>
      <c r="M54" s="837"/>
      <c r="N54" s="838" t="s">
        <v>653</v>
      </c>
      <c r="O54" s="867"/>
      <c r="P54" s="840" t="s">
        <v>653</v>
      </c>
      <c r="Q54" s="839"/>
      <c r="R54" s="868">
        <f t="shared" si="9"/>
        <v>0</v>
      </c>
      <c r="S54" s="851">
        <f t="shared" si="10"/>
        <v>0</v>
      </c>
      <c r="T54" s="840" t="s">
        <v>653</v>
      </c>
      <c r="U54" s="843" t="s">
        <v>653</v>
      </c>
      <c r="V54" s="852" t="str">
        <f t="shared" si="0"/>
        <v>0</v>
      </c>
      <c r="W54" s="845" t="s">
        <v>653</v>
      </c>
      <c r="X54" s="856"/>
      <c r="Y54" s="856"/>
      <c r="Z54" s="857"/>
      <c r="AA54" s="857"/>
      <c r="AB54" s="857"/>
      <c r="AC54" s="857"/>
      <c r="AD54" s="857"/>
      <c r="AE54" s="857"/>
      <c r="AF54" s="857"/>
    </row>
    <row r="55" spans="1:32" x14ac:dyDescent="0.25">
      <c r="A55" s="750" t="s">
        <v>1520</v>
      </c>
      <c r="B55" s="869"/>
      <c r="C55" s="837"/>
      <c r="D55" s="838" t="s">
        <v>653</v>
      </c>
      <c r="E55" s="867"/>
      <c r="F55" s="840" t="s">
        <v>653</v>
      </c>
      <c r="G55" s="839"/>
      <c r="H55" s="837"/>
      <c r="I55" s="838" t="s">
        <v>653</v>
      </c>
      <c r="J55" s="867"/>
      <c r="K55" s="840" t="s">
        <v>653</v>
      </c>
      <c r="L55" s="839"/>
      <c r="M55" s="837"/>
      <c r="N55" s="838" t="s">
        <v>653</v>
      </c>
      <c r="O55" s="867"/>
      <c r="P55" s="840" t="s">
        <v>653</v>
      </c>
      <c r="Q55" s="839"/>
      <c r="R55" s="868">
        <f t="shared" si="9"/>
        <v>0</v>
      </c>
      <c r="S55" s="851">
        <f t="shared" si="10"/>
        <v>0</v>
      </c>
      <c r="T55" s="840" t="s">
        <v>653</v>
      </c>
      <c r="U55" s="843" t="s">
        <v>653</v>
      </c>
      <c r="V55" s="852" t="str">
        <f t="shared" si="0"/>
        <v>0</v>
      </c>
      <c r="W55" s="845" t="s">
        <v>653</v>
      </c>
      <c r="X55" s="856"/>
      <c r="Y55" s="856"/>
      <c r="Z55" s="857"/>
      <c r="AA55" s="857"/>
      <c r="AB55" s="857"/>
      <c r="AC55" s="857"/>
      <c r="AD55" s="857"/>
      <c r="AE55" s="857"/>
      <c r="AF55" s="857"/>
    </row>
    <row r="56" spans="1:32" ht="15.75" thickBot="1" x14ac:dyDescent="0.3">
      <c r="A56" s="846" t="s">
        <v>1521</v>
      </c>
      <c r="B56" s="853"/>
      <c r="C56" s="870"/>
      <c r="D56" s="871" t="s">
        <v>653</v>
      </c>
      <c r="E56" s="872"/>
      <c r="F56" s="873" t="s">
        <v>653</v>
      </c>
      <c r="G56" s="874"/>
      <c r="H56" s="870"/>
      <c r="I56" s="871" t="s">
        <v>653</v>
      </c>
      <c r="J56" s="872"/>
      <c r="K56" s="873" t="s">
        <v>653</v>
      </c>
      <c r="L56" s="874"/>
      <c r="M56" s="870"/>
      <c r="N56" s="871" t="s">
        <v>653</v>
      </c>
      <c r="O56" s="872"/>
      <c r="P56" s="873" t="s">
        <v>653</v>
      </c>
      <c r="Q56" s="874"/>
      <c r="R56" s="868">
        <f t="shared" si="9"/>
        <v>0</v>
      </c>
      <c r="S56" s="851">
        <f t="shared" si="10"/>
        <v>0</v>
      </c>
      <c r="T56" s="863" t="s">
        <v>653</v>
      </c>
      <c r="U56" s="864" t="s">
        <v>653</v>
      </c>
      <c r="V56" s="875" t="str">
        <f t="shared" si="0"/>
        <v>0</v>
      </c>
      <c r="W56" s="876" t="s">
        <v>653</v>
      </c>
      <c r="X56" s="856"/>
      <c r="Y56" s="856"/>
      <c r="Z56" s="857"/>
      <c r="AA56" s="857"/>
      <c r="AB56" s="857"/>
      <c r="AC56" s="857"/>
      <c r="AD56" s="857"/>
      <c r="AE56" s="857"/>
      <c r="AF56" s="857"/>
    </row>
    <row r="57" spans="1:32" ht="15.75" thickBot="1" x14ac:dyDescent="0.3">
      <c r="A57" s="877" t="s">
        <v>351</v>
      </c>
      <c r="B57" s="878" t="s">
        <v>1522</v>
      </c>
      <c r="C57" s="879">
        <f>C11-C58</f>
        <v>0.81211428571259603</v>
      </c>
      <c r="D57" s="880" t="s">
        <v>653</v>
      </c>
      <c r="E57" s="881">
        <f>E11-E58</f>
        <v>543.42693711428558</v>
      </c>
      <c r="F57" s="882" t="s">
        <v>653</v>
      </c>
      <c r="G57" s="883" t="s">
        <v>653</v>
      </c>
      <c r="H57" s="879">
        <f>H11-H58</f>
        <v>1.1142857092636405E-3</v>
      </c>
      <c r="I57" s="880" t="s">
        <v>653</v>
      </c>
      <c r="J57" s="881">
        <f>J11-J58</f>
        <v>565.04573685721891</v>
      </c>
      <c r="K57" s="882" t="s">
        <v>653</v>
      </c>
      <c r="L57" s="883" t="s">
        <v>653</v>
      </c>
      <c r="M57" s="879">
        <f>M11-M58</f>
        <v>6.1142857121012639E-3</v>
      </c>
      <c r="N57" s="880" t="s">
        <v>653</v>
      </c>
      <c r="O57" s="881">
        <f>O11-O58</f>
        <v>0</v>
      </c>
      <c r="P57" s="884" t="s">
        <v>653</v>
      </c>
      <c r="Q57" s="885" t="s">
        <v>653</v>
      </c>
      <c r="R57" s="886" t="s">
        <v>653</v>
      </c>
      <c r="S57" s="887" t="s">
        <v>653</v>
      </c>
      <c r="T57" s="888" t="s">
        <v>653</v>
      </c>
      <c r="U57" s="889" t="s">
        <v>653</v>
      </c>
      <c r="V57" s="890" t="s">
        <v>653</v>
      </c>
      <c r="W57" s="891" t="s">
        <v>653</v>
      </c>
      <c r="X57" s="856"/>
      <c r="Y57" s="856"/>
      <c r="Z57" s="857"/>
      <c r="AA57" s="857"/>
      <c r="AB57" s="857"/>
      <c r="AC57" s="857"/>
      <c r="AD57" s="857"/>
      <c r="AE57" s="857"/>
      <c r="AF57" s="857"/>
    </row>
    <row r="58" spans="1:32" x14ac:dyDescent="0.25">
      <c r="A58" s="892" t="s">
        <v>364</v>
      </c>
      <c r="B58" s="893" t="s">
        <v>1491</v>
      </c>
      <c r="C58" s="894">
        <f>SUM(C59,C90)</f>
        <v>11547.977885714286</v>
      </c>
      <c r="D58" s="895">
        <f t="shared" ref="D58:Q58" si="11">SUM(D59,D90)</f>
        <v>2687.42</v>
      </c>
      <c r="E58" s="896">
        <f t="shared" si="11"/>
        <v>72.080340000000007</v>
      </c>
      <c r="F58" s="897">
        <f t="shared" si="11"/>
        <v>94.883009999999999</v>
      </c>
      <c r="G58" s="894">
        <f t="shared" si="11"/>
        <v>2664.61733</v>
      </c>
      <c r="H58" s="894">
        <f t="shared" si="11"/>
        <v>12983.128885714288</v>
      </c>
      <c r="I58" s="895">
        <f t="shared" si="11"/>
        <v>0</v>
      </c>
      <c r="J58" s="896">
        <f t="shared" si="11"/>
        <v>52.570070000000001</v>
      </c>
      <c r="K58" s="897">
        <f t="shared" si="11"/>
        <v>1329.8549899999998</v>
      </c>
      <c r="L58" s="894">
        <f t="shared" si="11"/>
        <v>-1277.2849199999998</v>
      </c>
      <c r="M58" s="894">
        <f t="shared" si="11"/>
        <v>11770.913885714286</v>
      </c>
      <c r="N58" s="895">
        <f t="shared" si="11"/>
        <v>0</v>
      </c>
      <c r="O58" s="896">
        <f t="shared" si="11"/>
        <v>0</v>
      </c>
      <c r="P58" s="897">
        <f t="shared" si="11"/>
        <v>0</v>
      </c>
      <c r="Q58" s="898">
        <f t="shared" si="11"/>
        <v>0</v>
      </c>
      <c r="R58" s="899">
        <f>SUM(R59,R90)</f>
        <v>36302.020657142857</v>
      </c>
      <c r="S58" s="900" t="s">
        <v>653</v>
      </c>
      <c r="T58" s="901">
        <f>SUM(T59,T90)</f>
        <v>124.65040999999999</v>
      </c>
      <c r="U58" s="902">
        <f>SUM(U59,U90)</f>
        <v>1387.33241</v>
      </c>
      <c r="V58" s="895" t="s">
        <v>653</v>
      </c>
      <c r="W58" s="903">
        <f t="shared" ref="W58:W59" si="12">IFERROR(T58/R58,"0")</f>
        <v>3.4337044534592191E-3</v>
      </c>
      <c r="X58" s="460"/>
      <c r="Y58" s="460"/>
      <c r="Z58" s="684"/>
      <c r="AA58" s="684"/>
      <c r="AB58" s="684"/>
      <c r="AC58" s="684"/>
      <c r="AD58" s="684"/>
      <c r="AE58" s="684"/>
      <c r="AF58" s="684"/>
    </row>
    <row r="59" spans="1:32" x14ac:dyDescent="0.25">
      <c r="A59" s="904" t="s">
        <v>165</v>
      </c>
      <c r="B59" s="905" t="s">
        <v>1523</v>
      </c>
      <c r="C59" s="906">
        <f t="shared" ref="C59:Q59" si="13">SUM(C60:C89)</f>
        <v>10972.806</v>
      </c>
      <c r="D59" s="907">
        <f t="shared" si="13"/>
        <v>0</v>
      </c>
      <c r="E59" s="907">
        <f t="shared" si="13"/>
        <v>0</v>
      </c>
      <c r="F59" s="908">
        <f t="shared" si="13"/>
        <v>94.883009999999999</v>
      </c>
      <c r="G59" s="906">
        <f t="shared" si="13"/>
        <v>-94.883009999999999</v>
      </c>
      <c r="H59" s="906">
        <f t="shared" si="13"/>
        <v>12407.957000000002</v>
      </c>
      <c r="I59" s="907">
        <f t="shared" si="13"/>
        <v>0</v>
      </c>
      <c r="J59" s="907">
        <f t="shared" si="13"/>
        <v>0</v>
      </c>
      <c r="K59" s="908">
        <f t="shared" si="13"/>
        <v>1329.8549899999998</v>
      </c>
      <c r="L59" s="906">
        <f t="shared" si="13"/>
        <v>-1329.8549899999998</v>
      </c>
      <c r="M59" s="906">
        <f t="shared" si="13"/>
        <v>11195.742</v>
      </c>
      <c r="N59" s="907">
        <f t="shared" si="13"/>
        <v>0</v>
      </c>
      <c r="O59" s="907">
        <f t="shared" si="13"/>
        <v>0</v>
      </c>
      <c r="P59" s="908">
        <f t="shared" si="13"/>
        <v>0</v>
      </c>
      <c r="Q59" s="906">
        <f t="shared" si="13"/>
        <v>0</v>
      </c>
      <c r="R59" s="909">
        <f>SUM(R60:R89)</f>
        <v>34576.504999999997</v>
      </c>
      <c r="S59" s="910" t="s">
        <v>653</v>
      </c>
      <c r="T59" s="911">
        <f>SUM(T60:T89)</f>
        <v>0</v>
      </c>
      <c r="U59" s="912">
        <f>SUM(U60:U89)</f>
        <v>-1424.7379999999998</v>
      </c>
      <c r="V59" s="910" t="s">
        <v>653</v>
      </c>
      <c r="W59" s="913">
        <f t="shared" si="12"/>
        <v>0</v>
      </c>
      <c r="X59" s="460"/>
      <c r="Y59" s="460"/>
      <c r="Z59" s="684"/>
      <c r="AA59" s="684"/>
      <c r="AB59" s="684"/>
      <c r="AC59" s="684"/>
      <c r="AD59" s="684"/>
      <c r="AE59" s="684"/>
      <c r="AF59" s="684"/>
    </row>
    <row r="60" spans="1:32" x14ac:dyDescent="0.25">
      <c r="A60" s="914" t="s">
        <v>167</v>
      </c>
      <c r="B60" s="915" t="s">
        <v>1616</v>
      </c>
      <c r="C60" s="854">
        <v>716.81900000000007</v>
      </c>
      <c r="D60" s="916"/>
      <c r="E60" s="855"/>
      <c r="F60" s="855">
        <f>'[1] Bal 18'!$C$57/1000</f>
        <v>9.4830100000000002</v>
      </c>
      <c r="G60" s="850">
        <f>D60+E60-F60</f>
        <v>-9.4830100000000002</v>
      </c>
      <c r="H60" s="854">
        <v>536.50299999999993</v>
      </c>
      <c r="I60" s="916"/>
      <c r="J60" s="855"/>
      <c r="K60" s="855">
        <f>'[1] Bal 18'!$F$57/1000-F60</f>
        <v>2.8792999999999989</v>
      </c>
      <c r="L60" s="850">
        <f>I60+J60-K60</f>
        <v>-2.8792999999999989</v>
      </c>
      <c r="M60" s="854">
        <v>536.50299999999993</v>
      </c>
      <c r="N60" s="916"/>
      <c r="O60" s="855"/>
      <c r="P60" s="855"/>
      <c r="Q60" s="850">
        <f>N60+O60-P60</f>
        <v>0</v>
      </c>
      <c r="R60" s="917">
        <f>SUM(C60,H60,M60)</f>
        <v>1789.825</v>
      </c>
      <c r="S60" s="918" t="s">
        <v>653</v>
      </c>
      <c r="T60" s="419">
        <f>SUM(E60,J60,O60)</f>
        <v>0</v>
      </c>
      <c r="U60" s="919">
        <f>SUM(G60,L60,Q60)</f>
        <v>-12.362309999999999</v>
      </c>
      <c r="V60" s="918" t="s">
        <v>653</v>
      </c>
      <c r="W60" s="920">
        <f>IFERROR(T60/R60,"0")</f>
        <v>0</v>
      </c>
      <c r="X60" s="460"/>
      <c r="Y60" s="460"/>
      <c r="Z60" s="684"/>
      <c r="AA60" s="684"/>
      <c r="AB60" s="684"/>
      <c r="AC60" s="684"/>
      <c r="AD60" s="684"/>
      <c r="AE60" s="684"/>
      <c r="AF60" s="684"/>
    </row>
    <row r="61" spans="1:32" x14ac:dyDescent="0.25">
      <c r="A61" s="921" t="s">
        <v>485</v>
      </c>
      <c r="B61" s="915" t="s">
        <v>1617</v>
      </c>
      <c r="C61" s="854">
        <v>757.12299999999993</v>
      </c>
      <c r="D61" s="916"/>
      <c r="E61" s="855"/>
      <c r="F61" s="855">
        <f>'[1] Bal 18'!$C$59/1000</f>
        <v>12</v>
      </c>
      <c r="G61" s="850">
        <f t="shared" ref="G61:G89" si="14">D61+E61-F61</f>
        <v>-12</v>
      </c>
      <c r="H61" s="854">
        <v>566.17500000000007</v>
      </c>
      <c r="I61" s="916"/>
      <c r="J61" s="855"/>
      <c r="K61" s="855">
        <f>'[1] Bal 18'!$D$59/1000-F61</f>
        <v>5.8907500000000006</v>
      </c>
      <c r="L61" s="850">
        <f t="shared" ref="L61:L89" si="15">I61+J61-K61</f>
        <v>-5.8907500000000006</v>
      </c>
      <c r="M61" s="854">
        <v>566.17500000000007</v>
      </c>
      <c r="N61" s="916"/>
      <c r="O61" s="855"/>
      <c r="P61" s="855"/>
      <c r="Q61" s="850">
        <f t="shared" ref="Q61:Q89" si="16">N61+O61-P61</f>
        <v>0</v>
      </c>
      <c r="R61" s="917">
        <f t="shared" ref="R61:R89" si="17">SUM(C61,H61,M61)</f>
        <v>1889.473</v>
      </c>
      <c r="S61" s="918" t="s">
        <v>653</v>
      </c>
      <c r="T61" s="419">
        <f t="shared" ref="T61:T89" si="18">SUM(E61,J61,O61)</f>
        <v>0</v>
      </c>
      <c r="U61" s="919">
        <f t="shared" ref="U61:U89" si="19">SUM(G61,L61,Q61)</f>
        <v>-17.890750000000001</v>
      </c>
      <c r="V61" s="918" t="s">
        <v>653</v>
      </c>
      <c r="W61" s="920">
        <f t="shared" ref="W61:W89" si="20">IFERROR(T61/R61,"0")</f>
        <v>0</v>
      </c>
      <c r="X61" s="460"/>
      <c r="Y61" s="460"/>
      <c r="Z61" s="684"/>
      <c r="AA61" s="684"/>
      <c r="AB61" s="684"/>
      <c r="AC61" s="684"/>
      <c r="AD61" s="684"/>
      <c r="AE61" s="684"/>
      <c r="AF61" s="684"/>
    </row>
    <row r="62" spans="1:32" x14ac:dyDescent="0.25">
      <c r="A62" s="921" t="s">
        <v>687</v>
      </c>
      <c r="B62" s="915" t="s">
        <v>1607</v>
      </c>
      <c r="C62" s="854">
        <v>6680.8959999999997</v>
      </c>
      <c r="D62" s="916"/>
      <c r="E62" s="855"/>
      <c r="F62" s="855">
        <f>'[1] Bal 18'!$C$61/1000</f>
        <v>41.4</v>
      </c>
      <c r="G62" s="850">
        <f t="shared" si="14"/>
        <v>-41.4</v>
      </c>
      <c r="H62" s="854">
        <v>5007.8950000000004</v>
      </c>
      <c r="I62" s="916"/>
      <c r="J62" s="855"/>
      <c r="K62" s="855">
        <f>'[1] Bal 18'!$D$61/1000-F62</f>
        <v>0.64874999999999972</v>
      </c>
      <c r="L62" s="850">
        <f t="shared" si="15"/>
        <v>-0.64874999999999972</v>
      </c>
      <c r="M62" s="854">
        <v>5007.8950000000004</v>
      </c>
      <c r="N62" s="916"/>
      <c r="O62" s="855"/>
      <c r="P62" s="855"/>
      <c r="Q62" s="850">
        <f t="shared" si="16"/>
        <v>0</v>
      </c>
      <c r="R62" s="917">
        <f t="shared" si="17"/>
        <v>16696.686000000002</v>
      </c>
      <c r="S62" s="918" t="s">
        <v>653</v>
      </c>
      <c r="T62" s="419">
        <f t="shared" si="18"/>
        <v>0</v>
      </c>
      <c r="U62" s="919">
        <f t="shared" si="19"/>
        <v>-42.048749999999998</v>
      </c>
      <c r="V62" s="918" t="s">
        <v>653</v>
      </c>
      <c r="W62" s="920">
        <f t="shared" si="20"/>
        <v>0</v>
      </c>
      <c r="X62" s="460"/>
      <c r="Y62" s="460"/>
      <c r="Z62" s="684"/>
      <c r="AA62" s="684"/>
      <c r="AB62" s="684"/>
      <c r="AC62" s="684"/>
      <c r="AD62" s="684"/>
      <c r="AE62" s="684"/>
      <c r="AF62" s="684"/>
    </row>
    <row r="63" spans="1:32" x14ac:dyDescent="0.25">
      <c r="A63" s="904" t="s">
        <v>688</v>
      </c>
      <c r="B63" s="915" t="s">
        <v>1608</v>
      </c>
      <c r="C63" s="854">
        <v>1897.941</v>
      </c>
      <c r="D63" s="916"/>
      <c r="E63" s="855"/>
      <c r="F63" s="855">
        <f>'[1] Bal 18'!$C$63/1000</f>
        <v>29</v>
      </c>
      <c r="G63" s="850">
        <f t="shared" si="14"/>
        <v>-29</v>
      </c>
      <c r="H63" s="854">
        <v>1420.6790000000001</v>
      </c>
      <c r="I63" s="916"/>
      <c r="J63" s="855"/>
      <c r="K63" s="855">
        <f>'[1] Bal 18'!$D$63/1000-F63</f>
        <v>1320.4361899999999</v>
      </c>
      <c r="L63" s="850">
        <f t="shared" si="15"/>
        <v>-1320.4361899999999</v>
      </c>
      <c r="M63" s="854">
        <v>1420.6790000000001</v>
      </c>
      <c r="N63" s="916"/>
      <c r="O63" s="855"/>
      <c r="P63" s="855"/>
      <c r="Q63" s="850">
        <f t="shared" si="16"/>
        <v>0</v>
      </c>
      <c r="R63" s="917">
        <f t="shared" si="17"/>
        <v>4739.299</v>
      </c>
      <c r="S63" s="918" t="s">
        <v>653</v>
      </c>
      <c r="T63" s="419">
        <f t="shared" si="18"/>
        <v>0</v>
      </c>
      <c r="U63" s="919">
        <f t="shared" si="19"/>
        <v>-1349.4361899999999</v>
      </c>
      <c r="V63" s="918" t="s">
        <v>653</v>
      </c>
      <c r="W63" s="920">
        <f t="shared" si="20"/>
        <v>0</v>
      </c>
      <c r="X63" s="460"/>
      <c r="Y63" s="460"/>
      <c r="Z63" s="684"/>
      <c r="AA63" s="684"/>
      <c r="AB63" s="684"/>
      <c r="AC63" s="684"/>
      <c r="AD63" s="684"/>
      <c r="AE63" s="684"/>
      <c r="AF63" s="684"/>
    </row>
    <row r="64" spans="1:32" x14ac:dyDescent="0.25">
      <c r="A64" s="904" t="s">
        <v>689</v>
      </c>
      <c r="B64" s="915" t="s">
        <v>1609</v>
      </c>
      <c r="C64" s="854">
        <v>313.92</v>
      </c>
      <c r="D64" s="916"/>
      <c r="E64" s="855"/>
      <c r="F64" s="855"/>
      <c r="G64" s="850">
        <f t="shared" si="14"/>
        <v>0</v>
      </c>
      <c r="H64" s="854">
        <v>229.88499999999999</v>
      </c>
      <c r="I64" s="916"/>
      <c r="J64" s="855"/>
      <c r="K64" s="855"/>
      <c r="L64" s="850">
        <f t="shared" si="15"/>
        <v>0</v>
      </c>
      <c r="M64" s="854">
        <v>229.88499999999999</v>
      </c>
      <c r="N64" s="916"/>
      <c r="O64" s="855"/>
      <c r="P64" s="855"/>
      <c r="Q64" s="850">
        <f t="shared" si="16"/>
        <v>0</v>
      </c>
      <c r="R64" s="917">
        <f t="shared" si="17"/>
        <v>773.69</v>
      </c>
      <c r="S64" s="918" t="s">
        <v>653</v>
      </c>
      <c r="T64" s="419">
        <f t="shared" si="18"/>
        <v>0</v>
      </c>
      <c r="U64" s="919">
        <f t="shared" si="19"/>
        <v>0</v>
      </c>
      <c r="V64" s="918" t="s">
        <v>653</v>
      </c>
      <c r="W64" s="920">
        <f t="shared" si="20"/>
        <v>0</v>
      </c>
      <c r="X64" s="460"/>
      <c r="Y64" s="460"/>
      <c r="Z64" s="684"/>
      <c r="AA64" s="684"/>
      <c r="AB64" s="684"/>
      <c r="AC64" s="684"/>
      <c r="AD64" s="684"/>
      <c r="AE64" s="684"/>
      <c r="AF64" s="684"/>
    </row>
    <row r="65" spans="1:32" x14ac:dyDescent="0.25">
      <c r="A65" s="904" t="s">
        <v>690</v>
      </c>
      <c r="B65" s="915" t="s">
        <v>1610</v>
      </c>
      <c r="C65" s="854">
        <v>28.847000000000001</v>
      </c>
      <c r="D65" s="916"/>
      <c r="E65" s="855"/>
      <c r="F65" s="855">
        <f>'[1] Bal 18'!$C$58/1000</f>
        <v>3</v>
      </c>
      <c r="G65" s="850">
        <f t="shared" si="14"/>
        <v>-3</v>
      </c>
      <c r="H65" s="854">
        <v>221.161</v>
      </c>
      <c r="I65" s="916"/>
      <c r="J65" s="855"/>
      <c r="K65" s="855">
        <f>'[1] Bal 18'!$D$58/1000-F65</f>
        <v>0</v>
      </c>
      <c r="L65" s="850">
        <f t="shared" si="15"/>
        <v>0</v>
      </c>
      <c r="M65" s="854">
        <v>163.46700000000001</v>
      </c>
      <c r="N65" s="916"/>
      <c r="O65" s="855"/>
      <c r="P65" s="855"/>
      <c r="Q65" s="850">
        <f t="shared" si="16"/>
        <v>0</v>
      </c>
      <c r="R65" s="917">
        <f t="shared" si="17"/>
        <v>413.47500000000002</v>
      </c>
      <c r="S65" s="918" t="s">
        <v>653</v>
      </c>
      <c r="T65" s="419">
        <f t="shared" si="18"/>
        <v>0</v>
      </c>
      <c r="U65" s="919">
        <f t="shared" si="19"/>
        <v>-3</v>
      </c>
      <c r="V65" s="918" t="s">
        <v>653</v>
      </c>
      <c r="W65" s="920">
        <f t="shared" si="20"/>
        <v>0</v>
      </c>
      <c r="X65" s="460"/>
      <c r="Y65" s="460"/>
      <c r="Z65" s="684"/>
      <c r="AA65" s="684"/>
      <c r="AB65" s="684"/>
      <c r="AC65" s="684"/>
      <c r="AD65" s="684"/>
      <c r="AE65" s="684"/>
      <c r="AF65" s="684"/>
    </row>
    <row r="66" spans="1:32" x14ac:dyDescent="0.25">
      <c r="A66" s="922" t="s">
        <v>691</v>
      </c>
      <c r="B66" s="915" t="s">
        <v>1611</v>
      </c>
      <c r="C66" s="854">
        <v>97.025000000000006</v>
      </c>
      <c r="D66" s="916"/>
      <c r="E66" s="855"/>
      <c r="F66" s="855"/>
      <c r="G66" s="850">
        <f t="shared" si="14"/>
        <v>0</v>
      </c>
      <c r="H66" s="854">
        <v>743.85799999999995</v>
      </c>
      <c r="I66" s="916"/>
      <c r="J66" s="855"/>
      <c r="K66" s="855"/>
      <c r="L66" s="850">
        <f t="shared" si="15"/>
        <v>0</v>
      </c>
      <c r="M66" s="854">
        <v>549.80799999999999</v>
      </c>
      <c r="N66" s="916"/>
      <c r="O66" s="855"/>
      <c r="P66" s="855"/>
      <c r="Q66" s="850">
        <f t="shared" si="16"/>
        <v>0</v>
      </c>
      <c r="R66" s="917">
        <f t="shared" si="17"/>
        <v>1390.6909999999998</v>
      </c>
      <c r="S66" s="918" t="s">
        <v>653</v>
      </c>
      <c r="T66" s="419">
        <f t="shared" si="18"/>
        <v>0</v>
      </c>
      <c r="U66" s="919">
        <f t="shared" si="19"/>
        <v>0</v>
      </c>
      <c r="V66" s="918" t="s">
        <v>653</v>
      </c>
      <c r="W66" s="920">
        <f t="shared" si="20"/>
        <v>0</v>
      </c>
      <c r="X66" s="460"/>
      <c r="Y66" s="460"/>
      <c r="Z66" s="684"/>
      <c r="AA66" s="684"/>
      <c r="AB66" s="684"/>
      <c r="AC66" s="684"/>
      <c r="AD66" s="684"/>
      <c r="AE66" s="684"/>
      <c r="AF66" s="684"/>
    </row>
    <row r="67" spans="1:32" x14ac:dyDescent="0.25">
      <c r="A67" s="922" t="s">
        <v>692</v>
      </c>
      <c r="B67" s="915" t="s">
        <v>1612</v>
      </c>
      <c r="C67" s="854">
        <v>79.64500000000001</v>
      </c>
      <c r="D67" s="916"/>
      <c r="E67" s="855"/>
      <c r="F67" s="855"/>
      <c r="G67" s="850">
        <f t="shared" si="14"/>
        <v>0</v>
      </c>
      <c r="H67" s="854">
        <v>610.61099999999999</v>
      </c>
      <c r="I67" s="916"/>
      <c r="J67" s="855"/>
      <c r="K67" s="855"/>
      <c r="L67" s="850">
        <f t="shared" si="15"/>
        <v>0</v>
      </c>
      <c r="M67" s="854">
        <v>451.32099999999997</v>
      </c>
      <c r="N67" s="916"/>
      <c r="O67" s="855"/>
      <c r="P67" s="855"/>
      <c r="Q67" s="850">
        <f t="shared" si="16"/>
        <v>0</v>
      </c>
      <c r="R67" s="917">
        <f t="shared" si="17"/>
        <v>1141.577</v>
      </c>
      <c r="S67" s="918" t="s">
        <v>653</v>
      </c>
      <c r="T67" s="419">
        <f t="shared" si="18"/>
        <v>0</v>
      </c>
      <c r="U67" s="919">
        <f t="shared" si="19"/>
        <v>0</v>
      </c>
      <c r="V67" s="918" t="s">
        <v>653</v>
      </c>
      <c r="W67" s="920">
        <f t="shared" si="20"/>
        <v>0</v>
      </c>
      <c r="X67" s="460"/>
      <c r="Y67" s="460"/>
      <c r="Z67" s="684"/>
      <c r="AA67" s="684"/>
      <c r="AB67" s="684"/>
      <c r="AC67" s="684"/>
      <c r="AD67" s="684"/>
      <c r="AE67" s="684"/>
      <c r="AF67" s="684"/>
    </row>
    <row r="68" spans="1:32" x14ac:dyDescent="0.25">
      <c r="A68" s="922" t="s">
        <v>693</v>
      </c>
      <c r="B68" s="915" t="s">
        <v>1613</v>
      </c>
      <c r="C68" s="854">
        <v>192.60000000000002</v>
      </c>
      <c r="D68" s="916"/>
      <c r="E68" s="855"/>
      <c r="F68" s="855"/>
      <c r="G68" s="850">
        <f t="shared" si="14"/>
        <v>0</v>
      </c>
      <c r="H68" s="854">
        <v>1476.6</v>
      </c>
      <c r="I68" s="916"/>
      <c r="J68" s="855"/>
      <c r="K68" s="855"/>
      <c r="L68" s="850">
        <f t="shared" si="15"/>
        <v>0</v>
      </c>
      <c r="M68" s="854">
        <v>1091.4000000000001</v>
      </c>
      <c r="N68" s="916"/>
      <c r="O68" s="855"/>
      <c r="P68" s="855"/>
      <c r="Q68" s="850">
        <f t="shared" si="16"/>
        <v>0</v>
      </c>
      <c r="R68" s="917">
        <f t="shared" si="17"/>
        <v>2760.6</v>
      </c>
      <c r="S68" s="918" t="s">
        <v>653</v>
      </c>
      <c r="T68" s="419">
        <f t="shared" si="18"/>
        <v>0</v>
      </c>
      <c r="U68" s="919">
        <f t="shared" si="19"/>
        <v>0</v>
      </c>
      <c r="V68" s="918" t="s">
        <v>653</v>
      </c>
      <c r="W68" s="920">
        <f t="shared" si="20"/>
        <v>0</v>
      </c>
      <c r="X68" s="460"/>
      <c r="Y68" s="460"/>
      <c r="Z68" s="684"/>
      <c r="AA68" s="684"/>
      <c r="AB68" s="684"/>
      <c r="AC68" s="684"/>
      <c r="AD68" s="684"/>
      <c r="AE68" s="684"/>
      <c r="AF68" s="684"/>
    </row>
    <row r="69" spans="1:32" x14ac:dyDescent="0.25">
      <c r="A69" s="922" t="s">
        <v>1524</v>
      </c>
      <c r="B69" s="915" t="s">
        <v>1614</v>
      </c>
      <c r="C69" s="854">
        <v>207.98999999999998</v>
      </c>
      <c r="D69" s="916"/>
      <c r="E69" s="855"/>
      <c r="F69" s="855"/>
      <c r="G69" s="850">
        <f t="shared" si="14"/>
        <v>0</v>
      </c>
      <c r="H69" s="854">
        <v>1594.5900000000001</v>
      </c>
      <c r="I69" s="916"/>
      <c r="J69" s="855"/>
      <c r="K69" s="855"/>
      <c r="L69" s="850">
        <f t="shared" si="15"/>
        <v>0</v>
      </c>
      <c r="M69" s="854">
        <v>1178.6089999999999</v>
      </c>
      <c r="N69" s="916"/>
      <c r="O69" s="855"/>
      <c r="P69" s="855"/>
      <c r="Q69" s="850">
        <f t="shared" si="16"/>
        <v>0</v>
      </c>
      <c r="R69" s="917">
        <f t="shared" si="17"/>
        <v>2981.1890000000003</v>
      </c>
      <c r="S69" s="918" t="s">
        <v>653</v>
      </c>
      <c r="T69" s="419">
        <f t="shared" si="18"/>
        <v>0</v>
      </c>
      <c r="U69" s="919">
        <f t="shared" si="19"/>
        <v>0</v>
      </c>
      <c r="V69" s="918" t="s">
        <v>653</v>
      </c>
      <c r="W69" s="920">
        <f t="shared" si="20"/>
        <v>0</v>
      </c>
      <c r="X69" s="460"/>
      <c r="Y69" s="460"/>
      <c r="Z69" s="684"/>
      <c r="AA69" s="684"/>
      <c r="AB69" s="684"/>
      <c r="AC69" s="684"/>
      <c r="AD69" s="684"/>
      <c r="AE69" s="684"/>
      <c r="AF69" s="684"/>
    </row>
    <row r="70" spans="1:32" x14ac:dyDescent="0.25">
      <c r="A70" s="922" t="s">
        <v>1525</v>
      </c>
      <c r="B70" s="915"/>
      <c r="C70" s="854"/>
      <c r="D70" s="916"/>
      <c r="E70" s="855"/>
      <c r="F70" s="855"/>
      <c r="G70" s="850">
        <f t="shared" si="14"/>
        <v>0</v>
      </c>
      <c r="H70" s="854"/>
      <c r="I70" s="916"/>
      <c r="J70" s="855"/>
      <c r="K70" s="855"/>
      <c r="L70" s="850">
        <f t="shared" si="15"/>
        <v>0</v>
      </c>
      <c r="M70" s="854"/>
      <c r="N70" s="916"/>
      <c r="O70" s="855"/>
      <c r="P70" s="855"/>
      <c r="Q70" s="850">
        <f t="shared" si="16"/>
        <v>0</v>
      </c>
      <c r="R70" s="917">
        <f t="shared" si="17"/>
        <v>0</v>
      </c>
      <c r="S70" s="918" t="s">
        <v>653</v>
      </c>
      <c r="T70" s="419">
        <f t="shared" si="18"/>
        <v>0</v>
      </c>
      <c r="U70" s="919">
        <f t="shared" si="19"/>
        <v>0</v>
      </c>
      <c r="V70" s="918" t="s">
        <v>653</v>
      </c>
      <c r="W70" s="920" t="str">
        <f t="shared" si="20"/>
        <v>0</v>
      </c>
      <c r="X70" s="460"/>
      <c r="Y70" s="460"/>
      <c r="Z70" s="684"/>
      <c r="AA70" s="684"/>
      <c r="AB70" s="684"/>
      <c r="AC70" s="684"/>
      <c r="AD70" s="684"/>
      <c r="AE70" s="684"/>
      <c r="AF70" s="684"/>
    </row>
    <row r="71" spans="1:32" x14ac:dyDescent="0.25">
      <c r="A71" s="922" t="s">
        <v>1526</v>
      </c>
      <c r="B71" s="915"/>
      <c r="C71" s="854"/>
      <c r="D71" s="916"/>
      <c r="E71" s="855"/>
      <c r="F71" s="855"/>
      <c r="G71" s="850">
        <f t="shared" si="14"/>
        <v>0</v>
      </c>
      <c r="H71" s="854"/>
      <c r="I71" s="916"/>
      <c r="J71" s="855"/>
      <c r="K71" s="855"/>
      <c r="L71" s="850">
        <f t="shared" si="15"/>
        <v>0</v>
      </c>
      <c r="M71" s="854"/>
      <c r="N71" s="916"/>
      <c r="O71" s="855"/>
      <c r="P71" s="855"/>
      <c r="Q71" s="850">
        <f t="shared" si="16"/>
        <v>0</v>
      </c>
      <c r="R71" s="917">
        <f t="shared" si="17"/>
        <v>0</v>
      </c>
      <c r="S71" s="918" t="s">
        <v>653</v>
      </c>
      <c r="T71" s="419">
        <f t="shared" si="18"/>
        <v>0</v>
      </c>
      <c r="U71" s="919">
        <f t="shared" si="19"/>
        <v>0</v>
      </c>
      <c r="V71" s="918" t="s">
        <v>653</v>
      </c>
      <c r="W71" s="920" t="str">
        <f t="shared" si="20"/>
        <v>0</v>
      </c>
      <c r="X71" s="460"/>
      <c r="Y71" s="460"/>
      <c r="Z71" s="684"/>
      <c r="AA71" s="684"/>
      <c r="AB71" s="684"/>
      <c r="AC71" s="684"/>
      <c r="AD71" s="684"/>
      <c r="AE71" s="684"/>
      <c r="AF71" s="684"/>
    </row>
    <row r="72" spans="1:32" x14ac:dyDescent="0.25">
      <c r="A72" s="922" t="s">
        <v>1527</v>
      </c>
      <c r="B72" s="915"/>
      <c r="C72" s="854"/>
      <c r="D72" s="916"/>
      <c r="E72" s="855"/>
      <c r="F72" s="855"/>
      <c r="G72" s="850">
        <f t="shared" si="14"/>
        <v>0</v>
      </c>
      <c r="H72" s="854"/>
      <c r="I72" s="916"/>
      <c r="J72" s="855"/>
      <c r="K72" s="855"/>
      <c r="L72" s="850">
        <f t="shared" si="15"/>
        <v>0</v>
      </c>
      <c r="M72" s="854"/>
      <c r="N72" s="916"/>
      <c r="O72" s="855"/>
      <c r="P72" s="855"/>
      <c r="Q72" s="850">
        <f t="shared" si="16"/>
        <v>0</v>
      </c>
      <c r="R72" s="917">
        <f t="shared" si="17"/>
        <v>0</v>
      </c>
      <c r="S72" s="918" t="s">
        <v>653</v>
      </c>
      <c r="T72" s="419">
        <f t="shared" si="18"/>
        <v>0</v>
      </c>
      <c r="U72" s="919">
        <f t="shared" si="19"/>
        <v>0</v>
      </c>
      <c r="V72" s="918" t="s">
        <v>653</v>
      </c>
      <c r="W72" s="920" t="str">
        <f t="shared" si="20"/>
        <v>0</v>
      </c>
      <c r="X72" s="460"/>
      <c r="Y72" s="460"/>
      <c r="Z72" s="684"/>
      <c r="AA72" s="684"/>
      <c r="AB72" s="684"/>
      <c r="AC72" s="684"/>
      <c r="AD72" s="684"/>
      <c r="AE72" s="684"/>
      <c r="AF72" s="684"/>
    </row>
    <row r="73" spans="1:32" x14ac:dyDescent="0.25">
      <c r="A73" s="922" t="s">
        <v>1528</v>
      </c>
      <c r="B73" s="915"/>
      <c r="C73" s="854"/>
      <c r="D73" s="916"/>
      <c r="E73" s="855"/>
      <c r="F73" s="855"/>
      <c r="G73" s="850">
        <f t="shared" si="14"/>
        <v>0</v>
      </c>
      <c r="H73" s="854"/>
      <c r="I73" s="916"/>
      <c r="J73" s="855"/>
      <c r="K73" s="855"/>
      <c r="L73" s="850">
        <f t="shared" si="15"/>
        <v>0</v>
      </c>
      <c r="M73" s="854"/>
      <c r="N73" s="916"/>
      <c r="O73" s="855"/>
      <c r="P73" s="855"/>
      <c r="Q73" s="850">
        <f t="shared" si="16"/>
        <v>0</v>
      </c>
      <c r="R73" s="917">
        <f t="shared" si="17"/>
        <v>0</v>
      </c>
      <c r="S73" s="918" t="s">
        <v>653</v>
      </c>
      <c r="T73" s="419">
        <f t="shared" si="18"/>
        <v>0</v>
      </c>
      <c r="U73" s="919">
        <f t="shared" si="19"/>
        <v>0</v>
      </c>
      <c r="V73" s="918" t="s">
        <v>653</v>
      </c>
      <c r="W73" s="920" t="str">
        <f t="shared" si="20"/>
        <v>0</v>
      </c>
      <c r="X73" s="460"/>
      <c r="Y73" s="460"/>
      <c r="Z73" s="684"/>
      <c r="AA73" s="684"/>
      <c r="AB73" s="684"/>
      <c r="AC73" s="684"/>
      <c r="AD73" s="684"/>
      <c r="AE73" s="684"/>
      <c r="AF73" s="684"/>
    </row>
    <row r="74" spans="1:32" x14ac:dyDescent="0.25">
      <c r="A74" s="922" t="s">
        <v>1529</v>
      </c>
      <c r="B74" s="915"/>
      <c r="C74" s="854"/>
      <c r="D74" s="916"/>
      <c r="E74" s="855"/>
      <c r="F74" s="855"/>
      <c r="G74" s="850">
        <f t="shared" si="14"/>
        <v>0</v>
      </c>
      <c r="H74" s="854"/>
      <c r="I74" s="916"/>
      <c r="J74" s="855"/>
      <c r="K74" s="855"/>
      <c r="L74" s="850">
        <f t="shared" si="15"/>
        <v>0</v>
      </c>
      <c r="M74" s="854"/>
      <c r="N74" s="916"/>
      <c r="O74" s="855"/>
      <c r="P74" s="855"/>
      <c r="Q74" s="850">
        <f t="shared" si="16"/>
        <v>0</v>
      </c>
      <c r="R74" s="917">
        <f t="shared" si="17"/>
        <v>0</v>
      </c>
      <c r="S74" s="918" t="s">
        <v>653</v>
      </c>
      <c r="T74" s="419">
        <f t="shared" si="18"/>
        <v>0</v>
      </c>
      <c r="U74" s="919">
        <f t="shared" si="19"/>
        <v>0</v>
      </c>
      <c r="V74" s="918" t="s">
        <v>653</v>
      </c>
      <c r="W74" s="920" t="str">
        <f t="shared" si="20"/>
        <v>0</v>
      </c>
      <c r="X74" s="460"/>
      <c r="Y74" s="460"/>
      <c r="Z74" s="684"/>
      <c r="AA74" s="684"/>
      <c r="AB74" s="684"/>
      <c r="AC74" s="684"/>
      <c r="AD74" s="684"/>
      <c r="AE74" s="684"/>
      <c r="AF74" s="684"/>
    </row>
    <row r="75" spans="1:32" x14ac:dyDescent="0.25">
      <c r="A75" s="922" t="s">
        <v>1530</v>
      </c>
      <c r="B75" s="915"/>
      <c r="C75" s="854"/>
      <c r="D75" s="916"/>
      <c r="E75" s="855"/>
      <c r="F75" s="855"/>
      <c r="G75" s="850">
        <f t="shared" si="14"/>
        <v>0</v>
      </c>
      <c r="H75" s="854"/>
      <c r="I75" s="916"/>
      <c r="J75" s="855"/>
      <c r="K75" s="855"/>
      <c r="L75" s="850">
        <f t="shared" si="15"/>
        <v>0</v>
      </c>
      <c r="M75" s="854"/>
      <c r="N75" s="916"/>
      <c r="O75" s="855"/>
      <c r="P75" s="855"/>
      <c r="Q75" s="850">
        <f t="shared" si="16"/>
        <v>0</v>
      </c>
      <c r="R75" s="917">
        <f t="shared" si="17"/>
        <v>0</v>
      </c>
      <c r="S75" s="918" t="s">
        <v>653</v>
      </c>
      <c r="T75" s="419">
        <f t="shared" si="18"/>
        <v>0</v>
      </c>
      <c r="U75" s="919">
        <f t="shared" si="19"/>
        <v>0</v>
      </c>
      <c r="V75" s="918" t="s">
        <v>653</v>
      </c>
      <c r="W75" s="920" t="str">
        <f t="shared" si="20"/>
        <v>0</v>
      </c>
      <c r="X75" s="460"/>
      <c r="Y75" s="460"/>
      <c r="Z75" s="684"/>
      <c r="AA75" s="684"/>
      <c r="AB75" s="684"/>
      <c r="AC75" s="684"/>
      <c r="AD75" s="684"/>
      <c r="AE75" s="684"/>
      <c r="AF75" s="684"/>
    </row>
    <row r="76" spans="1:32" x14ac:dyDescent="0.25">
      <c r="A76" s="922" t="s">
        <v>1531</v>
      </c>
      <c r="B76" s="915"/>
      <c r="C76" s="854"/>
      <c r="D76" s="916"/>
      <c r="E76" s="855"/>
      <c r="F76" s="855"/>
      <c r="G76" s="850">
        <f t="shared" si="14"/>
        <v>0</v>
      </c>
      <c r="H76" s="854"/>
      <c r="I76" s="916"/>
      <c r="J76" s="855"/>
      <c r="K76" s="855"/>
      <c r="L76" s="850">
        <f t="shared" si="15"/>
        <v>0</v>
      </c>
      <c r="M76" s="854"/>
      <c r="N76" s="916"/>
      <c r="O76" s="855"/>
      <c r="P76" s="855"/>
      <c r="Q76" s="850">
        <f t="shared" si="16"/>
        <v>0</v>
      </c>
      <c r="R76" s="917">
        <f t="shared" si="17"/>
        <v>0</v>
      </c>
      <c r="S76" s="918" t="s">
        <v>653</v>
      </c>
      <c r="T76" s="419">
        <f t="shared" si="18"/>
        <v>0</v>
      </c>
      <c r="U76" s="919">
        <f t="shared" si="19"/>
        <v>0</v>
      </c>
      <c r="V76" s="918" t="s">
        <v>653</v>
      </c>
      <c r="W76" s="920" t="str">
        <f t="shared" si="20"/>
        <v>0</v>
      </c>
      <c r="X76" s="460"/>
      <c r="Y76" s="460"/>
      <c r="Z76" s="684"/>
      <c r="AA76" s="684"/>
      <c r="AB76" s="684"/>
      <c r="AC76" s="684"/>
      <c r="AD76" s="684"/>
      <c r="AE76" s="684"/>
      <c r="AF76" s="684"/>
    </row>
    <row r="77" spans="1:32" x14ac:dyDescent="0.25">
      <c r="A77" s="921" t="s">
        <v>1532</v>
      </c>
      <c r="B77" s="923"/>
      <c r="C77" s="854"/>
      <c r="D77" s="916"/>
      <c r="E77" s="855"/>
      <c r="F77" s="855"/>
      <c r="G77" s="850">
        <f t="shared" si="14"/>
        <v>0</v>
      </c>
      <c r="H77" s="854"/>
      <c r="I77" s="916"/>
      <c r="J77" s="855"/>
      <c r="K77" s="855"/>
      <c r="L77" s="850">
        <f t="shared" si="15"/>
        <v>0</v>
      </c>
      <c r="M77" s="854"/>
      <c r="N77" s="916"/>
      <c r="O77" s="855"/>
      <c r="P77" s="855"/>
      <c r="Q77" s="850">
        <f t="shared" si="16"/>
        <v>0</v>
      </c>
      <c r="R77" s="917">
        <f t="shared" si="17"/>
        <v>0</v>
      </c>
      <c r="S77" s="918" t="s">
        <v>653</v>
      </c>
      <c r="T77" s="419">
        <f t="shared" si="18"/>
        <v>0</v>
      </c>
      <c r="U77" s="919">
        <f t="shared" si="19"/>
        <v>0</v>
      </c>
      <c r="V77" s="918" t="s">
        <v>653</v>
      </c>
      <c r="W77" s="920" t="str">
        <f t="shared" si="20"/>
        <v>0</v>
      </c>
      <c r="X77" s="460"/>
      <c r="Y77" s="460"/>
      <c r="Z77" s="684"/>
      <c r="AA77" s="684"/>
      <c r="AB77" s="684"/>
      <c r="AC77" s="684"/>
      <c r="AD77" s="684"/>
      <c r="AE77" s="684"/>
      <c r="AF77" s="684"/>
    </row>
    <row r="78" spans="1:32" x14ac:dyDescent="0.25">
      <c r="A78" s="921" t="s">
        <v>1533</v>
      </c>
      <c r="B78" s="923"/>
      <c r="C78" s="854"/>
      <c r="D78" s="916"/>
      <c r="E78" s="855"/>
      <c r="F78" s="855"/>
      <c r="G78" s="850">
        <f t="shared" si="14"/>
        <v>0</v>
      </c>
      <c r="H78" s="854"/>
      <c r="I78" s="916"/>
      <c r="J78" s="855"/>
      <c r="K78" s="855"/>
      <c r="L78" s="850">
        <f t="shared" si="15"/>
        <v>0</v>
      </c>
      <c r="M78" s="854"/>
      <c r="N78" s="916"/>
      <c r="O78" s="855"/>
      <c r="P78" s="855"/>
      <c r="Q78" s="850">
        <f t="shared" si="16"/>
        <v>0</v>
      </c>
      <c r="R78" s="917">
        <f t="shared" si="17"/>
        <v>0</v>
      </c>
      <c r="S78" s="918" t="s">
        <v>653</v>
      </c>
      <c r="T78" s="419">
        <f t="shared" si="18"/>
        <v>0</v>
      </c>
      <c r="U78" s="919">
        <f t="shared" si="19"/>
        <v>0</v>
      </c>
      <c r="V78" s="918" t="s">
        <v>653</v>
      </c>
      <c r="W78" s="920" t="str">
        <f t="shared" si="20"/>
        <v>0</v>
      </c>
      <c r="X78" s="460"/>
      <c r="Y78" s="460"/>
      <c r="Z78" s="684"/>
      <c r="AA78" s="684"/>
      <c r="AB78" s="684"/>
      <c r="AC78" s="684"/>
      <c r="AD78" s="684"/>
      <c r="AE78" s="684"/>
      <c r="AF78" s="684"/>
    </row>
    <row r="79" spans="1:32" x14ac:dyDescent="0.25">
      <c r="A79" s="904" t="s">
        <v>1534</v>
      </c>
      <c r="B79" s="924"/>
      <c r="C79" s="854"/>
      <c r="D79" s="916"/>
      <c r="E79" s="855"/>
      <c r="F79" s="855"/>
      <c r="G79" s="850">
        <f t="shared" si="14"/>
        <v>0</v>
      </c>
      <c r="H79" s="854"/>
      <c r="I79" s="916"/>
      <c r="J79" s="855"/>
      <c r="K79" s="855"/>
      <c r="L79" s="850">
        <f t="shared" si="15"/>
        <v>0</v>
      </c>
      <c r="M79" s="854"/>
      <c r="N79" s="916"/>
      <c r="O79" s="855"/>
      <c r="P79" s="855"/>
      <c r="Q79" s="850">
        <f t="shared" si="16"/>
        <v>0</v>
      </c>
      <c r="R79" s="917">
        <f t="shared" si="17"/>
        <v>0</v>
      </c>
      <c r="S79" s="918" t="s">
        <v>653</v>
      </c>
      <c r="T79" s="419">
        <f t="shared" si="18"/>
        <v>0</v>
      </c>
      <c r="U79" s="919">
        <f t="shared" si="19"/>
        <v>0</v>
      </c>
      <c r="V79" s="918" t="s">
        <v>653</v>
      </c>
      <c r="W79" s="920" t="str">
        <f t="shared" si="20"/>
        <v>0</v>
      </c>
      <c r="X79" s="460"/>
      <c r="Y79" s="460"/>
      <c r="Z79" s="684"/>
      <c r="AA79" s="684"/>
      <c r="AB79" s="684"/>
      <c r="AC79" s="684"/>
      <c r="AD79" s="684"/>
      <c r="AE79" s="684"/>
      <c r="AF79" s="684"/>
    </row>
    <row r="80" spans="1:32" x14ac:dyDescent="0.25">
      <c r="A80" s="904" t="s">
        <v>1535</v>
      </c>
      <c r="B80" s="924"/>
      <c r="C80" s="854"/>
      <c r="D80" s="916"/>
      <c r="E80" s="855"/>
      <c r="F80" s="855"/>
      <c r="G80" s="850">
        <f t="shared" si="14"/>
        <v>0</v>
      </c>
      <c r="H80" s="854"/>
      <c r="I80" s="916"/>
      <c r="J80" s="855"/>
      <c r="K80" s="855"/>
      <c r="L80" s="850">
        <f t="shared" si="15"/>
        <v>0</v>
      </c>
      <c r="M80" s="854"/>
      <c r="N80" s="916"/>
      <c r="O80" s="855"/>
      <c r="P80" s="855"/>
      <c r="Q80" s="850">
        <f t="shared" si="16"/>
        <v>0</v>
      </c>
      <c r="R80" s="917">
        <f t="shared" si="17"/>
        <v>0</v>
      </c>
      <c r="S80" s="918" t="s">
        <v>653</v>
      </c>
      <c r="T80" s="419">
        <f t="shared" si="18"/>
        <v>0</v>
      </c>
      <c r="U80" s="919">
        <f t="shared" si="19"/>
        <v>0</v>
      </c>
      <c r="V80" s="918" t="s">
        <v>653</v>
      </c>
      <c r="W80" s="920" t="str">
        <f t="shared" si="20"/>
        <v>0</v>
      </c>
      <c r="X80" s="460"/>
      <c r="Y80" s="460"/>
      <c r="Z80" s="684"/>
      <c r="AA80" s="684"/>
      <c r="AB80" s="684"/>
      <c r="AC80" s="684"/>
      <c r="AD80" s="684"/>
      <c r="AE80" s="684"/>
      <c r="AF80" s="684"/>
    </row>
    <row r="81" spans="1:32" x14ac:dyDescent="0.25">
      <c r="A81" s="904" t="s">
        <v>1536</v>
      </c>
      <c r="B81" s="924"/>
      <c r="C81" s="854"/>
      <c r="D81" s="916"/>
      <c r="E81" s="855"/>
      <c r="F81" s="855"/>
      <c r="G81" s="850">
        <f t="shared" si="14"/>
        <v>0</v>
      </c>
      <c r="H81" s="854"/>
      <c r="I81" s="916"/>
      <c r="J81" s="855"/>
      <c r="K81" s="855"/>
      <c r="L81" s="850">
        <f t="shared" si="15"/>
        <v>0</v>
      </c>
      <c r="M81" s="854"/>
      <c r="N81" s="916"/>
      <c r="O81" s="855"/>
      <c r="P81" s="855"/>
      <c r="Q81" s="850">
        <f t="shared" si="16"/>
        <v>0</v>
      </c>
      <c r="R81" s="917">
        <f t="shared" si="17"/>
        <v>0</v>
      </c>
      <c r="S81" s="918" t="s">
        <v>653</v>
      </c>
      <c r="T81" s="419">
        <f t="shared" si="18"/>
        <v>0</v>
      </c>
      <c r="U81" s="919">
        <f t="shared" si="19"/>
        <v>0</v>
      </c>
      <c r="V81" s="918" t="s">
        <v>653</v>
      </c>
      <c r="W81" s="920" t="str">
        <f t="shared" si="20"/>
        <v>0</v>
      </c>
      <c r="X81" s="460"/>
      <c r="Y81" s="460"/>
      <c r="Z81" s="684"/>
      <c r="AA81" s="684"/>
      <c r="AB81" s="684"/>
      <c r="AC81" s="684"/>
      <c r="AD81" s="684"/>
      <c r="AE81" s="684"/>
      <c r="AF81" s="684"/>
    </row>
    <row r="82" spans="1:32" x14ac:dyDescent="0.25">
      <c r="A82" s="904" t="s">
        <v>1537</v>
      </c>
      <c r="B82" s="924"/>
      <c r="C82" s="854"/>
      <c r="D82" s="916"/>
      <c r="E82" s="855"/>
      <c r="F82" s="855"/>
      <c r="G82" s="850">
        <f t="shared" si="14"/>
        <v>0</v>
      </c>
      <c r="H82" s="854"/>
      <c r="I82" s="916"/>
      <c r="J82" s="855"/>
      <c r="K82" s="855"/>
      <c r="L82" s="850">
        <f t="shared" si="15"/>
        <v>0</v>
      </c>
      <c r="M82" s="854"/>
      <c r="N82" s="916"/>
      <c r="O82" s="855"/>
      <c r="P82" s="855"/>
      <c r="Q82" s="850">
        <f t="shared" si="16"/>
        <v>0</v>
      </c>
      <c r="R82" s="917">
        <f t="shared" si="17"/>
        <v>0</v>
      </c>
      <c r="S82" s="918" t="s">
        <v>653</v>
      </c>
      <c r="T82" s="419">
        <f t="shared" si="18"/>
        <v>0</v>
      </c>
      <c r="U82" s="919">
        <f t="shared" si="19"/>
        <v>0</v>
      </c>
      <c r="V82" s="918" t="s">
        <v>653</v>
      </c>
      <c r="W82" s="920" t="str">
        <f t="shared" si="20"/>
        <v>0</v>
      </c>
      <c r="X82" s="460"/>
      <c r="Y82" s="460"/>
      <c r="Z82" s="684"/>
      <c r="AA82" s="684"/>
      <c r="AB82" s="684"/>
      <c r="AC82" s="684"/>
      <c r="AD82" s="684"/>
      <c r="AE82" s="684"/>
      <c r="AF82" s="684"/>
    </row>
    <row r="83" spans="1:32" x14ac:dyDescent="0.25">
      <c r="A83" s="904" t="s">
        <v>1538</v>
      </c>
      <c r="B83" s="924"/>
      <c r="C83" s="854"/>
      <c r="D83" s="916"/>
      <c r="E83" s="855"/>
      <c r="F83" s="855"/>
      <c r="G83" s="850">
        <f t="shared" si="14"/>
        <v>0</v>
      </c>
      <c r="H83" s="854"/>
      <c r="I83" s="916"/>
      <c r="J83" s="855"/>
      <c r="K83" s="855"/>
      <c r="L83" s="850">
        <f t="shared" si="15"/>
        <v>0</v>
      </c>
      <c r="M83" s="854"/>
      <c r="N83" s="916"/>
      <c r="O83" s="855"/>
      <c r="P83" s="855"/>
      <c r="Q83" s="850">
        <f t="shared" si="16"/>
        <v>0</v>
      </c>
      <c r="R83" s="917">
        <f t="shared" si="17"/>
        <v>0</v>
      </c>
      <c r="S83" s="918" t="s">
        <v>653</v>
      </c>
      <c r="T83" s="419">
        <f t="shared" si="18"/>
        <v>0</v>
      </c>
      <c r="U83" s="919">
        <f t="shared" si="19"/>
        <v>0</v>
      </c>
      <c r="V83" s="918" t="s">
        <v>653</v>
      </c>
      <c r="W83" s="920" t="str">
        <f t="shared" si="20"/>
        <v>0</v>
      </c>
      <c r="X83" s="460"/>
      <c r="Y83" s="460"/>
      <c r="Z83" s="684"/>
      <c r="AA83" s="684"/>
      <c r="AB83" s="684"/>
      <c r="AC83" s="684"/>
      <c r="AD83" s="684"/>
      <c r="AE83" s="684"/>
      <c r="AF83" s="684"/>
    </row>
    <row r="84" spans="1:32" x14ac:dyDescent="0.25">
      <c r="A84" s="925" t="s">
        <v>1539</v>
      </c>
      <c r="B84" s="924"/>
      <c r="C84" s="854"/>
      <c r="D84" s="916"/>
      <c r="E84" s="855"/>
      <c r="F84" s="855"/>
      <c r="G84" s="850">
        <f t="shared" si="14"/>
        <v>0</v>
      </c>
      <c r="H84" s="854"/>
      <c r="I84" s="916"/>
      <c r="J84" s="855"/>
      <c r="K84" s="855"/>
      <c r="L84" s="850">
        <f t="shared" si="15"/>
        <v>0</v>
      </c>
      <c r="M84" s="854"/>
      <c r="N84" s="916"/>
      <c r="O84" s="855"/>
      <c r="P84" s="855"/>
      <c r="Q84" s="850">
        <f t="shared" si="16"/>
        <v>0</v>
      </c>
      <c r="R84" s="917">
        <f t="shared" si="17"/>
        <v>0</v>
      </c>
      <c r="S84" s="918" t="s">
        <v>653</v>
      </c>
      <c r="T84" s="419">
        <f t="shared" si="18"/>
        <v>0</v>
      </c>
      <c r="U84" s="919">
        <f t="shared" si="19"/>
        <v>0</v>
      </c>
      <c r="V84" s="918" t="s">
        <v>653</v>
      </c>
      <c r="W84" s="920" t="str">
        <f t="shared" si="20"/>
        <v>0</v>
      </c>
      <c r="X84" s="460"/>
      <c r="Y84" s="460"/>
      <c r="Z84" s="684"/>
      <c r="AA84" s="684"/>
      <c r="AB84" s="684"/>
      <c r="AC84" s="684"/>
      <c r="AD84" s="684"/>
      <c r="AE84" s="684"/>
      <c r="AF84" s="684"/>
    </row>
    <row r="85" spans="1:32" x14ac:dyDescent="0.25">
      <c r="A85" s="904" t="s">
        <v>1540</v>
      </c>
      <c r="B85" s="924"/>
      <c r="C85" s="854"/>
      <c r="D85" s="916"/>
      <c r="E85" s="855"/>
      <c r="F85" s="855"/>
      <c r="G85" s="850">
        <f t="shared" si="14"/>
        <v>0</v>
      </c>
      <c r="H85" s="854"/>
      <c r="I85" s="916"/>
      <c r="J85" s="855"/>
      <c r="K85" s="855"/>
      <c r="L85" s="850">
        <f t="shared" si="15"/>
        <v>0</v>
      </c>
      <c r="M85" s="854"/>
      <c r="N85" s="916"/>
      <c r="O85" s="855"/>
      <c r="P85" s="855"/>
      <c r="Q85" s="850">
        <f t="shared" si="16"/>
        <v>0</v>
      </c>
      <c r="R85" s="917">
        <f t="shared" si="17"/>
        <v>0</v>
      </c>
      <c r="S85" s="918" t="s">
        <v>653</v>
      </c>
      <c r="T85" s="419">
        <f t="shared" si="18"/>
        <v>0</v>
      </c>
      <c r="U85" s="919">
        <f t="shared" si="19"/>
        <v>0</v>
      </c>
      <c r="V85" s="918" t="s">
        <v>653</v>
      </c>
      <c r="W85" s="920" t="str">
        <f t="shared" si="20"/>
        <v>0</v>
      </c>
      <c r="X85" s="460"/>
      <c r="Y85" s="460"/>
      <c r="Z85" s="684"/>
      <c r="AA85" s="684"/>
      <c r="AB85" s="684"/>
      <c r="AC85" s="684"/>
      <c r="AD85" s="684"/>
      <c r="AE85" s="684"/>
      <c r="AF85" s="684"/>
    </row>
    <row r="86" spans="1:32" x14ac:dyDescent="0.25">
      <c r="A86" s="904" t="s">
        <v>1541</v>
      </c>
      <c r="B86" s="924"/>
      <c r="C86" s="854"/>
      <c r="D86" s="916"/>
      <c r="E86" s="855"/>
      <c r="F86" s="855"/>
      <c r="G86" s="850">
        <f t="shared" si="14"/>
        <v>0</v>
      </c>
      <c r="H86" s="854"/>
      <c r="I86" s="916"/>
      <c r="J86" s="855"/>
      <c r="K86" s="855"/>
      <c r="L86" s="850">
        <f t="shared" si="15"/>
        <v>0</v>
      </c>
      <c r="M86" s="854"/>
      <c r="N86" s="916"/>
      <c r="O86" s="855"/>
      <c r="P86" s="855"/>
      <c r="Q86" s="850">
        <f t="shared" si="16"/>
        <v>0</v>
      </c>
      <c r="R86" s="917">
        <f t="shared" si="17"/>
        <v>0</v>
      </c>
      <c r="S86" s="918" t="s">
        <v>653</v>
      </c>
      <c r="T86" s="419">
        <f t="shared" si="18"/>
        <v>0</v>
      </c>
      <c r="U86" s="919">
        <f t="shared" si="19"/>
        <v>0</v>
      </c>
      <c r="V86" s="918" t="s">
        <v>653</v>
      </c>
      <c r="W86" s="920" t="str">
        <f t="shared" si="20"/>
        <v>0</v>
      </c>
      <c r="X86" s="460"/>
      <c r="Y86" s="460"/>
      <c r="Z86" s="684"/>
      <c r="AA86" s="684"/>
      <c r="AB86" s="684"/>
      <c r="AC86" s="684"/>
      <c r="AD86" s="684"/>
      <c r="AE86" s="684"/>
      <c r="AF86" s="684"/>
    </row>
    <row r="87" spans="1:32" x14ac:dyDescent="0.25">
      <c r="A87" s="904" t="s">
        <v>1542</v>
      </c>
      <c r="B87" s="924"/>
      <c r="C87" s="854"/>
      <c r="D87" s="916"/>
      <c r="E87" s="855"/>
      <c r="F87" s="855"/>
      <c r="G87" s="850">
        <f t="shared" si="14"/>
        <v>0</v>
      </c>
      <c r="H87" s="854"/>
      <c r="I87" s="916"/>
      <c r="J87" s="855"/>
      <c r="K87" s="855"/>
      <c r="L87" s="850">
        <f t="shared" si="15"/>
        <v>0</v>
      </c>
      <c r="M87" s="854"/>
      <c r="N87" s="916"/>
      <c r="O87" s="855"/>
      <c r="P87" s="855"/>
      <c r="Q87" s="850">
        <f t="shared" si="16"/>
        <v>0</v>
      </c>
      <c r="R87" s="917">
        <f t="shared" si="17"/>
        <v>0</v>
      </c>
      <c r="S87" s="918" t="s">
        <v>653</v>
      </c>
      <c r="T87" s="419">
        <f t="shared" si="18"/>
        <v>0</v>
      </c>
      <c r="U87" s="919">
        <f t="shared" si="19"/>
        <v>0</v>
      </c>
      <c r="V87" s="918" t="s">
        <v>653</v>
      </c>
      <c r="W87" s="920" t="str">
        <f t="shared" si="20"/>
        <v>0</v>
      </c>
      <c r="X87" s="460"/>
      <c r="Y87" s="460"/>
      <c r="Z87" s="684"/>
      <c r="AA87" s="684"/>
      <c r="AB87" s="684"/>
      <c r="AC87" s="684"/>
      <c r="AD87" s="684"/>
      <c r="AE87" s="684"/>
      <c r="AF87" s="684"/>
    </row>
    <row r="88" spans="1:32" x14ac:dyDescent="0.25">
      <c r="A88" s="904" t="s">
        <v>1543</v>
      </c>
      <c r="B88" s="924"/>
      <c r="C88" s="854"/>
      <c r="D88" s="916"/>
      <c r="E88" s="855"/>
      <c r="F88" s="855"/>
      <c r="G88" s="850">
        <f t="shared" si="14"/>
        <v>0</v>
      </c>
      <c r="H88" s="854"/>
      <c r="I88" s="916"/>
      <c r="J88" s="855"/>
      <c r="K88" s="855"/>
      <c r="L88" s="850">
        <f t="shared" si="15"/>
        <v>0</v>
      </c>
      <c r="M88" s="854"/>
      <c r="N88" s="916"/>
      <c r="O88" s="855"/>
      <c r="P88" s="855"/>
      <c r="Q88" s="850">
        <f t="shared" si="16"/>
        <v>0</v>
      </c>
      <c r="R88" s="917">
        <f t="shared" si="17"/>
        <v>0</v>
      </c>
      <c r="S88" s="918" t="s">
        <v>653</v>
      </c>
      <c r="T88" s="419">
        <f t="shared" si="18"/>
        <v>0</v>
      </c>
      <c r="U88" s="919">
        <f t="shared" si="19"/>
        <v>0</v>
      </c>
      <c r="V88" s="918" t="s">
        <v>653</v>
      </c>
      <c r="W88" s="920" t="str">
        <f t="shared" si="20"/>
        <v>0</v>
      </c>
      <c r="X88" s="460"/>
      <c r="Y88" s="460"/>
      <c r="Z88" s="684"/>
      <c r="AA88" s="684"/>
      <c r="AB88" s="684"/>
      <c r="AC88" s="684"/>
      <c r="AD88" s="684"/>
      <c r="AE88" s="684"/>
      <c r="AF88" s="684"/>
    </row>
    <row r="89" spans="1:32" x14ac:dyDescent="0.25">
      <c r="A89" s="904" t="s">
        <v>1544</v>
      </c>
      <c r="B89" s="924"/>
      <c r="C89" s="854"/>
      <c r="D89" s="916"/>
      <c r="E89" s="855"/>
      <c r="F89" s="855"/>
      <c r="G89" s="850">
        <f t="shared" si="14"/>
        <v>0</v>
      </c>
      <c r="H89" s="854"/>
      <c r="I89" s="916"/>
      <c r="J89" s="855"/>
      <c r="K89" s="855"/>
      <c r="L89" s="850">
        <f t="shared" si="15"/>
        <v>0</v>
      </c>
      <c r="M89" s="854"/>
      <c r="N89" s="916"/>
      <c r="O89" s="855"/>
      <c r="P89" s="855"/>
      <c r="Q89" s="850">
        <f t="shared" si="16"/>
        <v>0</v>
      </c>
      <c r="R89" s="917">
        <f t="shared" si="17"/>
        <v>0</v>
      </c>
      <c r="S89" s="918" t="s">
        <v>653</v>
      </c>
      <c r="T89" s="419">
        <f t="shared" si="18"/>
        <v>0</v>
      </c>
      <c r="U89" s="919">
        <f t="shared" si="19"/>
        <v>0</v>
      </c>
      <c r="V89" s="918" t="s">
        <v>653</v>
      </c>
      <c r="W89" s="920" t="str">
        <f t="shared" si="20"/>
        <v>0</v>
      </c>
      <c r="X89" s="460"/>
      <c r="Y89" s="460"/>
      <c r="Z89" s="684"/>
      <c r="AA89" s="684"/>
      <c r="AB89" s="684"/>
      <c r="AC89" s="684"/>
      <c r="AD89" s="684"/>
      <c r="AE89" s="684"/>
      <c r="AF89" s="684"/>
    </row>
    <row r="90" spans="1:32" x14ac:dyDescent="0.25">
      <c r="A90" s="904" t="s">
        <v>329</v>
      </c>
      <c r="B90" s="905" t="s">
        <v>1545</v>
      </c>
      <c r="C90" s="906">
        <f t="shared" ref="C90:Q90" si="21">SUM(C91:C130)</f>
        <v>575.17188571428596</v>
      </c>
      <c r="D90" s="907">
        <f t="shared" si="21"/>
        <v>2687.42</v>
      </c>
      <c r="E90" s="907">
        <f t="shared" si="21"/>
        <v>72.080340000000007</v>
      </c>
      <c r="F90" s="908">
        <f t="shared" si="21"/>
        <v>0</v>
      </c>
      <c r="G90" s="906">
        <f t="shared" si="21"/>
        <v>2759.5003400000001</v>
      </c>
      <c r="H90" s="906">
        <f t="shared" si="21"/>
        <v>575.17188571428596</v>
      </c>
      <c r="I90" s="907">
        <f t="shared" si="21"/>
        <v>0</v>
      </c>
      <c r="J90" s="907">
        <f t="shared" si="21"/>
        <v>52.570070000000001</v>
      </c>
      <c r="K90" s="908">
        <f t="shared" si="21"/>
        <v>0</v>
      </c>
      <c r="L90" s="906">
        <f t="shared" si="21"/>
        <v>52.570070000000001</v>
      </c>
      <c r="M90" s="906">
        <f t="shared" si="21"/>
        <v>575.17188571428596</v>
      </c>
      <c r="N90" s="907">
        <f t="shared" si="21"/>
        <v>0</v>
      </c>
      <c r="O90" s="907">
        <f t="shared" si="21"/>
        <v>0</v>
      </c>
      <c r="P90" s="908">
        <f t="shared" si="21"/>
        <v>0</v>
      </c>
      <c r="Q90" s="906">
        <f t="shared" si="21"/>
        <v>0</v>
      </c>
      <c r="R90" s="909">
        <f>SUM(R91:R130)</f>
        <v>1725.5156571428579</v>
      </c>
      <c r="S90" s="910" t="s">
        <v>653</v>
      </c>
      <c r="T90" s="911">
        <f>SUM(T91:T130)</f>
        <v>124.65040999999999</v>
      </c>
      <c r="U90" s="912">
        <f>SUM(U91:U130)</f>
        <v>2812.0704099999998</v>
      </c>
      <c r="V90" s="910" t="s">
        <v>653</v>
      </c>
      <c r="W90" s="913">
        <f>IFERROR(T90/R90,"0")</f>
        <v>7.223951256773789E-2</v>
      </c>
      <c r="X90" s="460"/>
      <c r="Y90" s="460"/>
      <c r="Z90" s="684"/>
      <c r="AA90" s="684"/>
      <c r="AB90" s="684"/>
      <c r="AC90" s="684"/>
      <c r="AD90" s="684"/>
      <c r="AE90" s="684"/>
      <c r="AF90" s="684"/>
    </row>
    <row r="91" spans="1:32" x14ac:dyDescent="0.25">
      <c r="A91" s="904" t="s">
        <v>695</v>
      </c>
      <c r="B91" s="923" t="s">
        <v>1618</v>
      </c>
      <c r="C91" s="854">
        <v>30</v>
      </c>
      <c r="D91" s="916"/>
      <c r="E91" s="855">
        <v>0</v>
      </c>
      <c r="F91" s="855"/>
      <c r="G91" s="850">
        <f>D91+E91-F91</f>
        <v>0</v>
      </c>
      <c r="H91" s="854">
        <v>0</v>
      </c>
      <c r="I91" s="916"/>
      <c r="J91" s="855"/>
      <c r="K91" s="855"/>
      <c r="L91" s="850">
        <f t="shared" ref="L91:L130" si="22">I91+J91-K91</f>
        <v>0</v>
      </c>
      <c r="M91" s="854">
        <v>0</v>
      </c>
      <c r="N91" s="916"/>
      <c r="O91" s="855"/>
      <c r="P91" s="855"/>
      <c r="Q91" s="850">
        <f t="shared" ref="Q91:Q130" si="23">N91+O91-P91</f>
        <v>0</v>
      </c>
      <c r="R91" s="917">
        <f>SUM(C91,H91,M91)</f>
        <v>30</v>
      </c>
      <c r="S91" s="918" t="s">
        <v>653</v>
      </c>
      <c r="T91" s="419">
        <f>SUM(E91,J91,O91)</f>
        <v>0</v>
      </c>
      <c r="U91" s="919">
        <f>SUM(G91,L91,Q91)</f>
        <v>0</v>
      </c>
      <c r="V91" s="918" t="s">
        <v>653</v>
      </c>
      <c r="W91" s="920">
        <f t="shared" ref="W91:W130" si="24">IFERROR(T91/R91,"0")</f>
        <v>0</v>
      </c>
      <c r="X91" s="460"/>
      <c r="Y91" s="460"/>
      <c r="Z91" s="684"/>
      <c r="AA91" s="684"/>
      <c r="AB91" s="684"/>
      <c r="AC91" s="684"/>
      <c r="AD91" s="684"/>
      <c r="AE91" s="684"/>
      <c r="AF91" s="684"/>
    </row>
    <row r="92" spans="1:32" x14ac:dyDescent="0.25">
      <c r="A92" s="904" t="s">
        <v>696</v>
      </c>
      <c r="B92" s="923" t="s">
        <v>1619</v>
      </c>
      <c r="C92" s="854">
        <v>18.22</v>
      </c>
      <c r="D92" s="916"/>
      <c r="E92" s="855">
        <v>0</v>
      </c>
      <c r="F92" s="855"/>
      <c r="G92" s="850">
        <f t="shared" ref="G92:G130" si="25">D92+E92-F92</f>
        <v>0</v>
      </c>
      <c r="H92" s="854">
        <v>0</v>
      </c>
      <c r="I92" s="916"/>
      <c r="J92" s="855"/>
      <c r="K92" s="855"/>
      <c r="L92" s="850">
        <f t="shared" si="22"/>
        <v>0</v>
      </c>
      <c r="M92" s="854">
        <v>0</v>
      </c>
      <c r="N92" s="916"/>
      <c r="O92" s="855"/>
      <c r="P92" s="855"/>
      <c r="Q92" s="850">
        <f t="shared" si="23"/>
        <v>0</v>
      </c>
      <c r="R92" s="917">
        <f t="shared" ref="R92:R130" si="26">SUM(C92,H92,M92)</f>
        <v>18.22</v>
      </c>
      <c r="S92" s="918" t="s">
        <v>653</v>
      </c>
      <c r="T92" s="419">
        <f t="shared" ref="T92:T130" si="27">SUM(E92,J92,O92)</f>
        <v>0</v>
      </c>
      <c r="U92" s="919">
        <f t="shared" ref="U92:U130" si="28">SUM(G92,L92,Q92)</f>
        <v>0</v>
      </c>
      <c r="V92" s="918" t="s">
        <v>653</v>
      </c>
      <c r="W92" s="920">
        <f t="shared" si="24"/>
        <v>0</v>
      </c>
      <c r="X92" s="460"/>
      <c r="Y92" s="460"/>
      <c r="Z92" s="684"/>
      <c r="AA92" s="684"/>
      <c r="AB92" s="684"/>
      <c r="AC92" s="684"/>
      <c r="AD92" s="684"/>
      <c r="AE92" s="684"/>
      <c r="AF92" s="684"/>
    </row>
    <row r="93" spans="1:32" x14ac:dyDescent="0.25">
      <c r="A93" s="904" t="s">
        <v>1546</v>
      </c>
      <c r="B93" s="923" t="s">
        <v>1620</v>
      </c>
      <c r="C93" s="854">
        <v>13.423999999999999</v>
      </c>
      <c r="D93" s="916"/>
      <c r="E93" s="855">
        <f>'[1]320 17'!$H$13/1000</f>
        <v>41.7</v>
      </c>
      <c r="F93" s="855"/>
      <c r="G93" s="850">
        <f>D93+E93-F93</f>
        <v>41.7</v>
      </c>
      <c r="H93" s="854">
        <v>0</v>
      </c>
      <c r="I93" s="916"/>
      <c r="J93" s="855"/>
      <c r="K93" s="855"/>
      <c r="L93" s="850">
        <f t="shared" si="22"/>
        <v>0</v>
      </c>
      <c r="M93" s="854">
        <v>0</v>
      </c>
      <c r="N93" s="916"/>
      <c r="O93" s="855"/>
      <c r="P93" s="855"/>
      <c r="Q93" s="850">
        <f t="shared" si="23"/>
        <v>0</v>
      </c>
      <c r="R93" s="917">
        <f t="shared" si="26"/>
        <v>13.423999999999999</v>
      </c>
      <c r="S93" s="918" t="s">
        <v>653</v>
      </c>
      <c r="T93" s="419">
        <f t="shared" si="27"/>
        <v>41.7</v>
      </c>
      <c r="U93" s="919">
        <f t="shared" si="28"/>
        <v>41.7</v>
      </c>
      <c r="V93" s="918" t="s">
        <v>653</v>
      </c>
      <c r="W93" s="920">
        <f t="shared" si="24"/>
        <v>3.1063766388557812</v>
      </c>
      <c r="X93" s="460"/>
      <c r="Y93" s="460"/>
      <c r="Z93" s="684"/>
      <c r="AA93" s="684"/>
      <c r="AB93" s="684"/>
      <c r="AC93" s="684"/>
      <c r="AD93" s="684"/>
      <c r="AE93" s="684"/>
      <c r="AF93" s="684"/>
    </row>
    <row r="94" spans="1:32" x14ac:dyDescent="0.25">
      <c r="A94" s="904" t="s">
        <v>1547</v>
      </c>
      <c r="B94" s="923" t="s">
        <v>1621</v>
      </c>
      <c r="C94" s="854">
        <v>190.36</v>
      </c>
      <c r="D94" s="916"/>
      <c r="E94" s="855">
        <v>0</v>
      </c>
      <c r="F94" s="855"/>
      <c r="G94" s="850">
        <f t="shared" si="25"/>
        <v>0</v>
      </c>
      <c r="H94" s="854">
        <v>200.36</v>
      </c>
      <c r="I94" s="916"/>
      <c r="J94" s="855"/>
      <c r="K94" s="855"/>
      <c r="L94" s="850">
        <f t="shared" si="22"/>
        <v>0</v>
      </c>
      <c r="M94" s="854">
        <v>0</v>
      </c>
      <c r="N94" s="916"/>
      <c r="O94" s="855"/>
      <c r="P94" s="855"/>
      <c r="Q94" s="850">
        <f t="shared" si="23"/>
        <v>0</v>
      </c>
      <c r="R94" s="917">
        <f t="shared" si="26"/>
        <v>390.72</v>
      </c>
      <c r="S94" s="918" t="s">
        <v>653</v>
      </c>
      <c r="T94" s="419">
        <f t="shared" si="27"/>
        <v>0</v>
      </c>
      <c r="U94" s="919">
        <f t="shared" si="28"/>
        <v>0</v>
      </c>
      <c r="V94" s="918" t="s">
        <v>653</v>
      </c>
      <c r="W94" s="920">
        <f t="shared" si="24"/>
        <v>0</v>
      </c>
      <c r="X94" s="460"/>
      <c r="Y94" s="460"/>
      <c r="Z94" s="684"/>
      <c r="AA94" s="684"/>
      <c r="AB94" s="684"/>
      <c r="AC94" s="684"/>
      <c r="AD94" s="684"/>
      <c r="AE94" s="684"/>
      <c r="AF94" s="684"/>
    </row>
    <row r="95" spans="1:32" x14ac:dyDescent="0.25">
      <c r="A95" s="904" t="s">
        <v>1548</v>
      </c>
      <c r="B95" s="923" t="s">
        <v>1622</v>
      </c>
      <c r="C95" s="854">
        <v>55.34</v>
      </c>
      <c r="D95" s="916">
        <v>2687.42</v>
      </c>
      <c r="E95" s="855">
        <v>0</v>
      </c>
      <c r="F95" s="855"/>
      <c r="G95" s="850">
        <f t="shared" si="25"/>
        <v>2687.42</v>
      </c>
      <c r="H95" s="854">
        <v>58.66</v>
      </c>
      <c r="I95" s="916"/>
      <c r="J95" s="855"/>
      <c r="K95" s="855"/>
      <c r="L95" s="850">
        <f t="shared" si="22"/>
        <v>0</v>
      </c>
      <c r="M95" s="854">
        <v>0</v>
      </c>
      <c r="N95" s="916"/>
      <c r="O95" s="855"/>
      <c r="P95" s="855"/>
      <c r="Q95" s="850">
        <f t="shared" si="23"/>
        <v>0</v>
      </c>
      <c r="R95" s="917">
        <f t="shared" si="26"/>
        <v>114</v>
      </c>
      <c r="S95" s="918" t="s">
        <v>653</v>
      </c>
      <c r="T95" s="419">
        <f t="shared" si="27"/>
        <v>0</v>
      </c>
      <c r="U95" s="919">
        <f t="shared" si="28"/>
        <v>2687.42</v>
      </c>
      <c r="V95" s="918" t="s">
        <v>653</v>
      </c>
      <c r="W95" s="920">
        <f t="shared" si="24"/>
        <v>0</v>
      </c>
      <c r="X95" s="460"/>
      <c r="Y95" s="460"/>
      <c r="Z95" s="684"/>
      <c r="AA95" s="684"/>
      <c r="AB95" s="684"/>
      <c r="AC95" s="684"/>
      <c r="AD95" s="684"/>
      <c r="AE95" s="684"/>
      <c r="AF95" s="684"/>
    </row>
    <row r="96" spans="1:32" x14ac:dyDescent="0.25">
      <c r="A96" s="904" t="s">
        <v>1549</v>
      </c>
      <c r="B96" s="923" t="s">
        <v>1623</v>
      </c>
      <c r="C96" s="854">
        <v>11.87</v>
      </c>
      <c r="D96" s="916"/>
      <c r="E96" s="855">
        <v>0</v>
      </c>
      <c r="F96" s="855"/>
      <c r="G96" s="850">
        <f t="shared" si="25"/>
        <v>0</v>
      </c>
      <c r="H96" s="854">
        <v>0</v>
      </c>
      <c r="I96" s="916"/>
      <c r="J96" s="855">
        <f>'[1]320 18 '!$H$15/1000+'[1]320 19 1'!$I$11/1000</f>
        <v>37.010680000000001</v>
      </c>
      <c r="K96" s="855"/>
      <c r="L96" s="850">
        <f t="shared" si="22"/>
        <v>37.010680000000001</v>
      </c>
      <c r="M96" s="854">
        <v>0</v>
      </c>
      <c r="N96" s="916"/>
      <c r="O96" s="855"/>
      <c r="P96" s="855"/>
      <c r="Q96" s="850">
        <f t="shared" si="23"/>
        <v>0</v>
      </c>
      <c r="R96" s="917">
        <f t="shared" si="26"/>
        <v>11.87</v>
      </c>
      <c r="S96" s="918" t="s">
        <v>653</v>
      </c>
      <c r="T96" s="419">
        <f t="shared" si="27"/>
        <v>37.010680000000001</v>
      </c>
      <c r="U96" s="919">
        <f t="shared" si="28"/>
        <v>37.010680000000001</v>
      </c>
      <c r="V96" s="918" t="s">
        <v>653</v>
      </c>
      <c r="W96" s="920">
        <f t="shared" si="24"/>
        <v>3.1180016849199665</v>
      </c>
      <c r="X96" s="460"/>
      <c r="Y96" s="460"/>
      <c r="Z96" s="684"/>
      <c r="AA96" s="684"/>
      <c r="AB96" s="684"/>
      <c r="AC96" s="684"/>
      <c r="AD96" s="684"/>
      <c r="AE96" s="684"/>
      <c r="AF96" s="684"/>
    </row>
    <row r="97" spans="1:32" x14ac:dyDescent="0.25">
      <c r="A97" s="904" t="s">
        <v>1550</v>
      </c>
      <c r="B97" s="923" t="s">
        <v>1624</v>
      </c>
      <c r="C97" s="854">
        <v>29.45</v>
      </c>
      <c r="D97" s="916"/>
      <c r="E97" s="855">
        <f>'[1]333 17'!$H$29/1000</f>
        <v>12.380330000000001</v>
      </c>
      <c r="F97" s="855"/>
      <c r="G97" s="850">
        <f t="shared" si="25"/>
        <v>12.380330000000001</v>
      </c>
      <c r="H97" s="854">
        <v>29.45</v>
      </c>
      <c r="I97" s="916"/>
      <c r="J97" s="855">
        <f>('[1]333 18'!$E$66+'[1]333 18'!$E$69)/1000</f>
        <v>15.559389999999999</v>
      </c>
      <c r="K97" s="855"/>
      <c r="L97" s="850">
        <f t="shared" si="22"/>
        <v>15.559389999999999</v>
      </c>
      <c r="M97" s="854">
        <v>0</v>
      </c>
      <c r="N97" s="916"/>
      <c r="O97" s="855"/>
      <c r="P97" s="855"/>
      <c r="Q97" s="850">
        <f t="shared" si="23"/>
        <v>0</v>
      </c>
      <c r="R97" s="917">
        <f t="shared" si="26"/>
        <v>58.9</v>
      </c>
      <c r="S97" s="918" t="s">
        <v>653</v>
      </c>
      <c r="T97" s="419">
        <f t="shared" si="27"/>
        <v>27.939720000000001</v>
      </c>
      <c r="U97" s="919">
        <f t="shared" si="28"/>
        <v>27.939720000000001</v>
      </c>
      <c r="V97" s="918" t="s">
        <v>653</v>
      </c>
      <c r="W97" s="920">
        <f t="shared" si="24"/>
        <v>0.47435857385398983</v>
      </c>
      <c r="X97" s="460"/>
      <c r="Y97" s="460"/>
      <c r="Z97" s="684"/>
      <c r="AA97" s="684"/>
      <c r="AB97" s="684"/>
      <c r="AC97" s="684"/>
      <c r="AD97" s="684"/>
      <c r="AE97" s="684"/>
      <c r="AF97" s="684"/>
    </row>
    <row r="98" spans="1:32" ht="33.75" x14ac:dyDescent="0.25">
      <c r="A98" s="904" t="s">
        <v>1551</v>
      </c>
      <c r="B98" s="923" t="s">
        <v>1625</v>
      </c>
      <c r="C98" s="854">
        <v>0</v>
      </c>
      <c r="D98" s="916"/>
      <c r="E98" s="855">
        <v>0</v>
      </c>
      <c r="F98" s="855"/>
      <c r="G98" s="850">
        <f t="shared" si="25"/>
        <v>0</v>
      </c>
      <c r="H98" s="854">
        <v>60.19</v>
      </c>
      <c r="I98" s="916"/>
      <c r="J98" s="855"/>
      <c r="K98" s="855"/>
      <c r="L98" s="850">
        <f t="shared" si="22"/>
        <v>0</v>
      </c>
      <c r="M98" s="854">
        <v>348.66</v>
      </c>
      <c r="N98" s="916"/>
      <c r="O98" s="855"/>
      <c r="P98" s="855"/>
      <c r="Q98" s="850">
        <f t="shared" si="23"/>
        <v>0</v>
      </c>
      <c r="R98" s="917">
        <f t="shared" si="26"/>
        <v>408.85</v>
      </c>
      <c r="S98" s="918" t="s">
        <v>653</v>
      </c>
      <c r="T98" s="419">
        <f t="shared" si="27"/>
        <v>0</v>
      </c>
      <c r="U98" s="919">
        <f t="shared" si="28"/>
        <v>0</v>
      </c>
      <c r="V98" s="918" t="s">
        <v>653</v>
      </c>
      <c r="W98" s="920">
        <f t="shared" si="24"/>
        <v>0</v>
      </c>
      <c r="X98" s="460"/>
      <c r="Y98" s="460"/>
      <c r="Z98" s="684"/>
      <c r="AA98" s="684"/>
      <c r="AB98" s="684"/>
      <c r="AC98" s="684"/>
      <c r="AD98" s="684"/>
      <c r="AE98" s="684"/>
      <c r="AF98" s="684"/>
    </row>
    <row r="99" spans="1:32" ht="22.5" x14ac:dyDescent="0.25">
      <c r="A99" s="904" t="s">
        <v>1552</v>
      </c>
      <c r="B99" s="923" t="s">
        <v>1626</v>
      </c>
      <c r="C99" s="854">
        <v>226.50788571428592</v>
      </c>
      <c r="D99" s="916"/>
      <c r="E99" s="855">
        <f>SUM('[1]320'!$G$148:$G$154)/1000</f>
        <v>18.00001</v>
      </c>
      <c r="F99" s="855"/>
      <c r="G99" s="850">
        <f t="shared" si="25"/>
        <v>18.00001</v>
      </c>
      <c r="H99" s="854">
        <v>226.511885714286</v>
      </c>
      <c r="I99" s="916"/>
      <c r="J99" s="855"/>
      <c r="K99" s="855"/>
      <c r="L99" s="850">
        <f t="shared" si="22"/>
        <v>0</v>
      </c>
      <c r="M99" s="854">
        <v>226.51188571428594</v>
      </c>
      <c r="N99" s="916"/>
      <c r="O99" s="855"/>
      <c r="P99" s="855"/>
      <c r="Q99" s="850">
        <f t="shared" si="23"/>
        <v>0</v>
      </c>
      <c r="R99" s="917">
        <f t="shared" si="26"/>
        <v>679.53165714285785</v>
      </c>
      <c r="S99" s="918" t="s">
        <v>653</v>
      </c>
      <c r="T99" s="419">
        <f t="shared" si="27"/>
        <v>18.00001</v>
      </c>
      <c r="U99" s="919">
        <f t="shared" si="28"/>
        <v>18.00001</v>
      </c>
      <c r="V99" s="918" t="s">
        <v>653</v>
      </c>
      <c r="W99" s="920">
        <f t="shared" si="24"/>
        <v>2.6488846856204465E-2</v>
      </c>
      <c r="X99" s="460"/>
      <c r="Y99" s="460"/>
      <c r="Z99" s="684"/>
      <c r="AA99" s="684"/>
      <c r="AB99" s="684"/>
      <c r="AC99" s="684"/>
      <c r="AD99" s="684"/>
      <c r="AE99" s="684"/>
      <c r="AF99" s="684"/>
    </row>
    <row r="100" spans="1:32" x14ac:dyDescent="0.25">
      <c r="A100" s="904" t="s">
        <v>1553</v>
      </c>
      <c r="B100" s="923"/>
      <c r="C100" s="854"/>
      <c r="D100" s="916"/>
      <c r="E100" s="855"/>
      <c r="F100" s="855"/>
      <c r="G100" s="850">
        <f t="shared" si="25"/>
        <v>0</v>
      </c>
      <c r="H100" s="854"/>
      <c r="I100" s="916"/>
      <c r="J100" s="855"/>
      <c r="K100" s="855"/>
      <c r="L100" s="850">
        <f t="shared" si="22"/>
        <v>0</v>
      </c>
      <c r="M100" s="854"/>
      <c r="N100" s="916"/>
      <c r="O100" s="855"/>
      <c r="P100" s="855"/>
      <c r="Q100" s="850">
        <f t="shared" si="23"/>
        <v>0</v>
      </c>
      <c r="R100" s="917">
        <f t="shared" si="26"/>
        <v>0</v>
      </c>
      <c r="S100" s="918" t="s">
        <v>653</v>
      </c>
      <c r="T100" s="419">
        <f t="shared" si="27"/>
        <v>0</v>
      </c>
      <c r="U100" s="919">
        <f t="shared" si="28"/>
        <v>0</v>
      </c>
      <c r="V100" s="918" t="s">
        <v>653</v>
      </c>
      <c r="W100" s="920" t="str">
        <f t="shared" si="24"/>
        <v>0</v>
      </c>
      <c r="X100" s="460"/>
      <c r="Y100" s="460"/>
      <c r="Z100" s="684"/>
      <c r="AA100" s="684"/>
      <c r="AB100" s="684"/>
      <c r="AC100" s="684"/>
      <c r="AD100" s="684"/>
      <c r="AE100" s="684"/>
      <c r="AF100" s="684"/>
    </row>
    <row r="101" spans="1:32" x14ac:dyDescent="0.25">
      <c r="A101" s="904" t="s">
        <v>1554</v>
      </c>
      <c r="B101" s="923"/>
      <c r="C101" s="854"/>
      <c r="D101" s="916"/>
      <c r="E101" s="855"/>
      <c r="F101" s="855"/>
      <c r="G101" s="850">
        <f t="shared" si="25"/>
        <v>0</v>
      </c>
      <c r="H101" s="854"/>
      <c r="I101" s="916"/>
      <c r="J101" s="855"/>
      <c r="K101" s="855"/>
      <c r="L101" s="850">
        <f t="shared" si="22"/>
        <v>0</v>
      </c>
      <c r="M101" s="854"/>
      <c r="N101" s="916"/>
      <c r="O101" s="855"/>
      <c r="P101" s="855"/>
      <c r="Q101" s="850">
        <f t="shared" si="23"/>
        <v>0</v>
      </c>
      <c r="R101" s="917">
        <f t="shared" si="26"/>
        <v>0</v>
      </c>
      <c r="S101" s="918" t="s">
        <v>653</v>
      </c>
      <c r="T101" s="419">
        <f t="shared" si="27"/>
        <v>0</v>
      </c>
      <c r="U101" s="919">
        <f t="shared" si="28"/>
        <v>0</v>
      </c>
      <c r="V101" s="918" t="s">
        <v>653</v>
      </c>
      <c r="W101" s="920" t="str">
        <f t="shared" si="24"/>
        <v>0</v>
      </c>
      <c r="X101" s="460"/>
      <c r="Y101" s="460"/>
      <c r="Z101" s="684"/>
      <c r="AA101" s="684"/>
      <c r="AB101" s="684"/>
      <c r="AC101" s="684"/>
      <c r="AD101" s="684"/>
      <c r="AE101" s="684"/>
      <c r="AF101" s="684"/>
    </row>
    <row r="102" spans="1:32" x14ac:dyDescent="0.25">
      <c r="A102" s="904" t="s">
        <v>1555</v>
      </c>
      <c r="B102" s="923"/>
      <c r="C102" s="854"/>
      <c r="D102" s="916"/>
      <c r="E102" s="855"/>
      <c r="F102" s="855"/>
      <c r="G102" s="850">
        <f t="shared" si="25"/>
        <v>0</v>
      </c>
      <c r="H102" s="854"/>
      <c r="I102" s="916"/>
      <c r="J102" s="855"/>
      <c r="K102" s="855"/>
      <c r="L102" s="850">
        <f t="shared" si="22"/>
        <v>0</v>
      </c>
      <c r="M102" s="854"/>
      <c r="N102" s="916"/>
      <c r="O102" s="855"/>
      <c r="P102" s="855"/>
      <c r="Q102" s="850">
        <f t="shared" si="23"/>
        <v>0</v>
      </c>
      <c r="R102" s="917">
        <f t="shared" si="26"/>
        <v>0</v>
      </c>
      <c r="S102" s="918" t="s">
        <v>653</v>
      </c>
      <c r="T102" s="419">
        <f t="shared" si="27"/>
        <v>0</v>
      </c>
      <c r="U102" s="919">
        <f t="shared" si="28"/>
        <v>0</v>
      </c>
      <c r="V102" s="918" t="s">
        <v>653</v>
      </c>
      <c r="W102" s="920" t="str">
        <f t="shared" si="24"/>
        <v>0</v>
      </c>
      <c r="X102" s="460"/>
      <c r="Y102" s="460"/>
      <c r="Z102" s="684"/>
      <c r="AA102" s="684"/>
      <c r="AB102" s="684"/>
      <c r="AC102" s="684"/>
      <c r="AD102" s="684"/>
      <c r="AE102" s="684"/>
      <c r="AF102" s="684"/>
    </row>
    <row r="103" spans="1:32" x14ac:dyDescent="0.25">
      <c r="A103" s="904" t="s">
        <v>1556</v>
      </c>
      <c r="B103" s="923"/>
      <c r="C103" s="854"/>
      <c r="D103" s="916"/>
      <c r="E103" s="855"/>
      <c r="F103" s="855"/>
      <c r="G103" s="850">
        <f t="shared" si="25"/>
        <v>0</v>
      </c>
      <c r="H103" s="854"/>
      <c r="I103" s="916"/>
      <c r="J103" s="855"/>
      <c r="K103" s="855"/>
      <c r="L103" s="850">
        <f t="shared" si="22"/>
        <v>0</v>
      </c>
      <c r="M103" s="854"/>
      <c r="N103" s="916"/>
      <c r="O103" s="855"/>
      <c r="P103" s="855"/>
      <c r="Q103" s="850">
        <f t="shared" si="23"/>
        <v>0</v>
      </c>
      <c r="R103" s="917">
        <f t="shared" si="26"/>
        <v>0</v>
      </c>
      <c r="S103" s="918" t="s">
        <v>653</v>
      </c>
      <c r="T103" s="419">
        <f t="shared" si="27"/>
        <v>0</v>
      </c>
      <c r="U103" s="919">
        <f t="shared" si="28"/>
        <v>0</v>
      </c>
      <c r="V103" s="918" t="s">
        <v>653</v>
      </c>
      <c r="W103" s="920" t="str">
        <f t="shared" si="24"/>
        <v>0</v>
      </c>
      <c r="X103" s="460"/>
      <c r="Y103" s="460"/>
      <c r="Z103" s="684"/>
      <c r="AA103" s="684"/>
      <c r="AB103" s="684"/>
      <c r="AC103" s="684"/>
      <c r="AD103" s="684"/>
      <c r="AE103" s="684"/>
      <c r="AF103" s="684"/>
    </row>
    <row r="104" spans="1:32" x14ac:dyDescent="0.25">
      <c r="A104" s="904" t="s">
        <v>1557</v>
      </c>
      <c r="B104" s="923"/>
      <c r="C104" s="854"/>
      <c r="D104" s="916"/>
      <c r="E104" s="855"/>
      <c r="F104" s="855"/>
      <c r="G104" s="850">
        <f t="shared" si="25"/>
        <v>0</v>
      </c>
      <c r="H104" s="854"/>
      <c r="I104" s="916"/>
      <c r="J104" s="855"/>
      <c r="K104" s="855"/>
      <c r="L104" s="850">
        <f t="shared" si="22"/>
        <v>0</v>
      </c>
      <c r="M104" s="854"/>
      <c r="N104" s="916"/>
      <c r="O104" s="855"/>
      <c r="P104" s="855"/>
      <c r="Q104" s="850">
        <f t="shared" si="23"/>
        <v>0</v>
      </c>
      <c r="R104" s="917">
        <f t="shared" si="26"/>
        <v>0</v>
      </c>
      <c r="S104" s="918" t="s">
        <v>653</v>
      </c>
      <c r="T104" s="419">
        <f t="shared" si="27"/>
        <v>0</v>
      </c>
      <c r="U104" s="919">
        <f t="shared" si="28"/>
        <v>0</v>
      </c>
      <c r="V104" s="918" t="s">
        <v>653</v>
      </c>
      <c r="W104" s="920" t="str">
        <f t="shared" si="24"/>
        <v>0</v>
      </c>
      <c r="X104" s="460"/>
      <c r="Y104" s="460"/>
      <c r="Z104" s="684"/>
      <c r="AA104" s="684"/>
      <c r="AB104" s="684"/>
      <c r="AC104" s="684"/>
      <c r="AD104" s="684"/>
      <c r="AE104" s="684"/>
      <c r="AF104" s="684"/>
    </row>
    <row r="105" spans="1:32" x14ac:dyDescent="0.25">
      <c r="A105" s="904" t="s">
        <v>1558</v>
      </c>
      <c r="B105" s="923"/>
      <c r="C105" s="854"/>
      <c r="D105" s="916"/>
      <c r="E105" s="855"/>
      <c r="F105" s="855"/>
      <c r="G105" s="850">
        <f t="shared" si="25"/>
        <v>0</v>
      </c>
      <c r="H105" s="854"/>
      <c r="I105" s="916"/>
      <c r="J105" s="855"/>
      <c r="K105" s="855"/>
      <c r="L105" s="850">
        <f t="shared" si="22"/>
        <v>0</v>
      </c>
      <c r="M105" s="854"/>
      <c r="N105" s="916"/>
      <c r="O105" s="855"/>
      <c r="P105" s="855"/>
      <c r="Q105" s="850">
        <f t="shared" si="23"/>
        <v>0</v>
      </c>
      <c r="R105" s="917">
        <f t="shared" si="26"/>
        <v>0</v>
      </c>
      <c r="S105" s="918" t="s">
        <v>653</v>
      </c>
      <c r="T105" s="419">
        <f t="shared" si="27"/>
        <v>0</v>
      </c>
      <c r="U105" s="919">
        <f t="shared" si="28"/>
        <v>0</v>
      </c>
      <c r="V105" s="918" t="s">
        <v>653</v>
      </c>
      <c r="W105" s="920" t="str">
        <f t="shared" si="24"/>
        <v>0</v>
      </c>
      <c r="X105" s="460"/>
      <c r="Y105" s="460"/>
      <c r="Z105" s="684"/>
      <c r="AA105" s="684"/>
      <c r="AB105" s="684"/>
      <c r="AC105" s="684"/>
      <c r="AD105" s="684"/>
      <c r="AE105" s="684"/>
      <c r="AF105" s="684"/>
    </row>
    <row r="106" spans="1:32" x14ac:dyDescent="0.25">
      <c r="A106" s="904" t="s">
        <v>1559</v>
      </c>
      <c r="B106" s="923"/>
      <c r="C106" s="854"/>
      <c r="D106" s="916"/>
      <c r="E106" s="855"/>
      <c r="F106" s="855"/>
      <c r="G106" s="850">
        <f t="shared" si="25"/>
        <v>0</v>
      </c>
      <c r="H106" s="854"/>
      <c r="I106" s="916"/>
      <c r="J106" s="855"/>
      <c r="K106" s="855"/>
      <c r="L106" s="850">
        <f t="shared" si="22"/>
        <v>0</v>
      </c>
      <c r="M106" s="854"/>
      <c r="N106" s="916"/>
      <c r="O106" s="855"/>
      <c r="P106" s="855"/>
      <c r="Q106" s="850">
        <f t="shared" si="23"/>
        <v>0</v>
      </c>
      <c r="R106" s="917">
        <f t="shared" si="26"/>
        <v>0</v>
      </c>
      <c r="S106" s="918" t="s">
        <v>653</v>
      </c>
      <c r="T106" s="419">
        <f t="shared" si="27"/>
        <v>0</v>
      </c>
      <c r="U106" s="919">
        <f t="shared" si="28"/>
        <v>0</v>
      </c>
      <c r="V106" s="918" t="s">
        <v>653</v>
      </c>
      <c r="W106" s="920" t="str">
        <f t="shared" si="24"/>
        <v>0</v>
      </c>
      <c r="X106" s="460"/>
      <c r="Y106" s="460"/>
      <c r="Z106" s="684"/>
      <c r="AA106" s="684"/>
      <c r="AB106" s="684"/>
      <c r="AC106" s="684"/>
      <c r="AD106" s="684"/>
      <c r="AE106" s="684"/>
      <c r="AF106" s="684"/>
    </row>
    <row r="107" spans="1:32" x14ac:dyDescent="0.25">
      <c r="A107" s="904" t="s">
        <v>1560</v>
      </c>
      <c r="B107" s="923"/>
      <c r="C107" s="854"/>
      <c r="D107" s="916"/>
      <c r="E107" s="855"/>
      <c r="F107" s="855"/>
      <c r="G107" s="850">
        <f t="shared" si="25"/>
        <v>0</v>
      </c>
      <c r="H107" s="854"/>
      <c r="I107" s="916"/>
      <c r="J107" s="855"/>
      <c r="K107" s="855"/>
      <c r="L107" s="850">
        <f t="shared" si="22"/>
        <v>0</v>
      </c>
      <c r="M107" s="854"/>
      <c r="N107" s="916"/>
      <c r="O107" s="855"/>
      <c r="P107" s="855"/>
      <c r="Q107" s="850">
        <f t="shared" si="23"/>
        <v>0</v>
      </c>
      <c r="R107" s="917">
        <f t="shared" si="26"/>
        <v>0</v>
      </c>
      <c r="S107" s="918" t="s">
        <v>653</v>
      </c>
      <c r="T107" s="419">
        <f t="shared" si="27"/>
        <v>0</v>
      </c>
      <c r="U107" s="919">
        <f t="shared" si="28"/>
        <v>0</v>
      </c>
      <c r="V107" s="918" t="s">
        <v>653</v>
      </c>
      <c r="W107" s="920" t="str">
        <f t="shared" si="24"/>
        <v>0</v>
      </c>
      <c r="X107" s="460"/>
      <c r="Y107" s="460"/>
      <c r="Z107" s="684"/>
      <c r="AA107" s="684"/>
      <c r="AB107" s="684"/>
      <c r="AC107" s="684"/>
      <c r="AD107" s="684"/>
      <c r="AE107" s="684"/>
      <c r="AF107" s="684"/>
    </row>
    <row r="108" spans="1:32" x14ac:dyDescent="0.25">
      <c r="A108" s="904" t="s">
        <v>1561</v>
      </c>
      <c r="B108" s="923"/>
      <c r="C108" s="854"/>
      <c r="D108" s="916"/>
      <c r="E108" s="855"/>
      <c r="F108" s="855"/>
      <c r="G108" s="850">
        <f t="shared" si="25"/>
        <v>0</v>
      </c>
      <c r="H108" s="854"/>
      <c r="I108" s="916"/>
      <c r="J108" s="855"/>
      <c r="K108" s="855"/>
      <c r="L108" s="850">
        <f t="shared" si="22"/>
        <v>0</v>
      </c>
      <c r="M108" s="854"/>
      <c r="N108" s="916"/>
      <c r="O108" s="855"/>
      <c r="P108" s="855"/>
      <c r="Q108" s="850">
        <f t="shared" si="23"/>
        <v>0</v>
      </c>
      <c r="R108" s="917">
        <f t="shared" si="26"/>
        <v>0</v>
      </c>
      <c r="S108" s="918" t="s">
        <v>653</v>
      </c>
      <c r="T108" s="419">
        <f t="shared" si="27"/>
        <v>0</v>
      </c>
      <c r="U108" s="919">
        <f t="shared" si="28"/>
        <v>0</v>
      </c>
      <c r="V108" s="918" t="s">
        <v>653</v>
      </c>
      <c r="W108" s="920" t="str">
        <f t="shared" si="24"/>
        <v>0</v>
      </c>
      <c r="X108" s="460"/>
      <c r="Y108" s="460"/>
      <c r="Z108" s="684"/>
      <c r="AA108" s="684"/>
      <c r="AB108" s="684"/>
      <c r="AC108" s="684"/>
      <c r="AD108" s="684"/>
      <c r="AE108" s="684"/>
      <c r="AF108" s="684"/>
    </row>
    <row r="109" spans="1:32" x14ac:dyDescent="0.25">
      <c r="A109" s="904" t="s">
        <v>1562</v>
      </c>
      <c r="B109" s="923"/>
      <c r="C109" s="854"/>
      <c r="D109" s="916"/>
      <c r="E109" s="855"/>
      <c r="F109" s="855"/>
      <c r="G109" s="850">
        <f t="shared" si="25"/>
        <v>0</v>
      </c>
      <c r="H109" s="854"/>
      <c r="I109" s="916"/>
      <c r="J109" s="855"/>
      <c r="K109" s="855"/>
      <c r="L109" s="850">
        <f t="shared" si="22"/>
        <v>0</v>
      </c>
      <c r="M109" s="854"/>
      <c r="N109" s="916"/>
      <c r="O109" s="855"/>
      <c r="P109" s="855"/>
      <c r="Q109" s="850">
        <f t="shared" si="23"/>
        <v>0</v>
      </c>
      <c r="R109" s="917">
        <f t="shared" si="26"/>
        <v>0</v>
      </c>
      <c r="S109" s="918" t="s">
        <v>653</v>
      </c>
      <c r="T109" s="419">
        <f t="shared" si="27"/>
        <v>0</v>
      </c>
      <c r="U109" s="919">
        <f t="shared" si="28"/>
        <v>0</v>
      </c>
      <c r="V109" s="918" t="s">
        <v>653</v>
      </c>
      <c r="W109" s="920" t="str">
        <f t="shared" si="24"/>
        <v>0</v>
      </c>
      <c r="X109" s="460"/>
      <c r="Y109" s="460"/>
      <c r="Z109" s="684"/>
      <c r="AA109" s="684"/>
      <c r="AB109" s="684"/>
      <c r="AC109" s="684"/>
      <c r="AD109" s="684"/>
      <c r="AE109" s="684"/>
      <c r="AF109" s="684"/>
    </row>
    <row r="110" spans="1:32" x14ac:dyDescent="0.25">
      <c r="A110" s="904" t="s">
        <v>1563</v>
      </c>
      <c r="B110" s="923"/>
      <c r="C110" s="854"/>
      <c r="D110" s="916"/>
      <c r="E110" s="855"/>
      <c r="F110" s="855"/>
      <c r="G110" s="850">
        <f t="shared" si="25"/>
        <v>0</v>
      </c>
      <c r="H110" s="854"/>
      <c r="I110" s="916"/>
      <c r="J110" s="855"/>
      <c r="K110" s="855"/>
      <c r="L110" s="850">
        <f t="shared" si="22"/>
        <v>0</v>
      </c>
      <c r="M110" s="854"/>
      <c r="N110" s="916"/>
      <c r="O110" s="855"/>
      <c r="P110" s="855"/>
      <c r="Q110" s="850">
        <f t="shared" si="23"/>
        <v>0</v>
      </c>
      <c r="R110" s="917">
        <f t="shared" si="26"/>
        <v>0</v>
      </c>
      <c r="S110" s="918" t="s">
        <v>653</v>
      </c>
      <c r="T110" s="419">
        <f t="shared" si="27"/>
        <v>0</v>
      </c>
      <c r="U110" s="919">
        <f t="shared" si="28"/>
        <v>0</v>
      </c>
      <c r="V110" s="918" t="s">
        <v>653</v>
      </c>
      <c r="W110" s="920" t="str">
        <f t="shared" si="24"/>
        <v>0</v>
      </c>
      <c r="X110" s="460"/>
      <c r="Y110" s="460"/>
      <c r="Z110" s="684"/>
      <c r="AA110" s="684"/>
      <c r="AB110" s="684"/>
      <c r="AC110" s="684"/>
      <c r="AD110" s="684"/>
      <c r="AE110" s="684"/>
      <c r="AF110" s="684"/>
    </row>
    <row r="111" spans="1:32" x14ac:dyDescent="0.25">
      <c r="A111" s="904" t="s">
        <v>1564</v>
      </c>
      <c r="B111" s="923"/>
      <c r="C111" s="854"/>
      <c r="D111" s="916"/>
      <c r="E111" s="855"/>
      <c r="F111" s="855"/>
      <c r="G111" s="850">
        <f t="shared" si="25"/>
        <v>0</v>
      </c>
      <c r="H111" s="854"/>
      <c r="I111" s="916"/>
      <c r="J111" s="855"/>
      <c r="K111" s="855"/>
      <c r="L111" s="850">
        <f t="shared" si="22"/>
        <v>0</v>
      </c>
      <c r="M111" s="854"/>
      <c r="N111" s="916"/>
      <c r="O111" s="855"/>
      <c r="P111" s="855"/>
      <c r="Q111" s="850">
        <f t="shared" si="23"/>
        <v>0</v>
      </c>
      <c r="R111" s="917">
        <f t="shared" si="26"/>
        <v>0</v>
      </c>
      <c r="S111" s="918" t="s">
        <v>653</v>
      </c>
      <c r="T111" s="419">
        <f t="shared" si="27"/>
        <v>0</v>
      </c>
      <c r="U111" s="919">
        <f t="shared" si="28"/>
        <v>0</v>
      </c>
      <c r="V111" s="918" t="s">
        <v>653</v>
      </c>
      <c r="W111" s="920" t="str">
        <f t="shared" si="24"/>
        <v>0</v>
      </c>
      <c r="X111" s="460"/>
      <c r="Y111" s="460"/>
      <c r="Z111" s="684"/>
      <c r="AA111" s="684"/>
      <c r="AB111" s="684"/>
      <c r="AC111" s="684"/>
      <c r="AD111" s="684"/>
      <c r="AE111" s="684"/>
      <c r="AF111" s="684"/>
    </row>
    <row r="112" spans="1:32" x14ac:dyDescent="0.25">
      <c r="A112" s="904" t="s">
        <v>1565</v>
      </c>
      <c r="B112" s="923"/>
      <c r="C112" s="854"/>
      <c r="D112" s="916"/>
      <c r="E112" s="855"/>
      <c r="F112" s="855"/>
      <c r="G112" s="850">
        <f t="shared" si="25"/>
        <v>0</v>
      </c>
      <c r="H112" s="854"/>
      <c r="I112" s="916"/>
      <c r="J112" s="855"/>
      <c r="K112" s="855"/>
      <c r="L112" s="850">
        <f t="shared" si="22"/>
        <v>0</v>
      </c>
      <c r="M112" s="854"/>
      <c r="N112" s="916"/>
      <c r="O112" s="855"/>
      <c r="P112" s="855"/>
      <c r="Q112" s="850">
        <f t="shared" si="23"/>
        <v>0</v>
      </c>
      <c r="R112" s="917">
        <f t="shared" si="26"/>
        <v>0</v>
      </c>
      <c r="S112" s="918" t="s">
        <v>653</v>
      </c>
      <c r="T112" s="419">
        <f t="shared" si="27"/>
        <v>0</v>
      </c>
      <c r="U112" s="919">
        <f t="shared" si="28"/>
        <v>0</v>
      </c>
      <c r="V112" s="918" t="s">
        <v>653</v>
      </c>
      <c r="W112" s="920" t="str">
        <f t="shared" si="24"/>
        <v>0</v>
      </c>
      <c r="X112" s="460"/>
      <c r="Y112" s="460"/>
      <c r="Z112" s="684"/>
      <c r="AA112" s="684"/>
      <c r="AB112" s="684"/>
      <c r="AC112" s="684"/>
      <c r="AD112" s="684"/>
      <c r="AE112" s="684"/>
      <c r="AF112" s="684"/>
    </row>
    <row r="113" spans="1:32" x14ac:dyDescent="0.25">
      <c r="A113" s="904" t="s">
        <v>1566</v>
      </c>
      <c r="B113" s="923"/>
      <c r="C113" s="854"/>
      <c r="D113" s="916"/>
      <c r="E113" s="855"/>
      <c r="F113" s="855"/>
      <c r="G113" s="850">
        <f t="shared" si="25"/>
        <v>0</v>
      </c>
      <c r="H113" s="854"/>
      <c r="I113" s="916"/>
      <c r="J113" s="855"/>
      <c r="K113" s="855"/>
      <c r="L113" s="850">
        <f t="shared" si="22"/>
        <v>0</v>
      </c>
      <c r="M113" s="854"/>
      <c r="N113" s="916"/>
      <c r="O113" s="855"/>
      <c r="P113" s="855"/>
      <c r="Q113" s="850">
        <f t="shared" si="23"/>
        <v>0</v>
      </c>
      <c r="R113" s="917">
        <f t="shared" si="26"/>
        <v>0</v>
      </c>
      <c r="S113" s="918" t="s">
        <v>653</v>
      </c>
      <c r="T113" s="419">
        <f t="shared" si="27"/>
        <v>0</v>
      </c>
      <c r="U113" s="919">
        <f t="shared" si="28"/>
        <v>0</v>
      </c>
      <c r="V113" s="918" t="s">
        <v>653</v>
      </c>
      <c r="W113" s="920" t="str">
        <f t="shared" si="24"/>
        <v>0</v>
      </c>
      <c r="X113" s="460"/>
      <c r="Y113" s="460"/>
      <c r="Z113" s="684"/>
      <c r="AA113" s="684"/>
      <c r="AB113" s="684"/>
      <c r="AC113" s="684"/>
      <c r="AD113" s="684"/>
      <c r="AE113" s="684"/>
      <c r="AF113" s="684"/>
    </row>
    <row r="114" spans="1:32" x14ac:dyDescent="0.25">
      <c r="A114" s="904" t="s">
        <v>1567</v>
      </c>
      <c r="B114" s="923"/>
      <c r="C114" s="854"/>
      <c r="D114" s="916"/>
      <c r="E114" s="855"/>
      <c r="F114" s="855"/>
      <c r="G114" s="850">
        <f t="shared" si="25"/>
        <v>0</v>
      </c>
      <c r="H114" s="854"/>
      <c r="I114" s="916"/>
      <c r="J114" s="855"/>
      <c r="K114" s="855"/>
      <c r="L114" s="850">
        <f t="shared" si="22"/>
        <v>0</v>
      </c>
      <c r="M114" s="854"/>
      <c r="N114" s="916"/>
      <c r="O114" s="855"/>
      <c r="P114" s="855"/>
      <c r="Q114" s="850">
        <f t="shared" si="23"/>
        <v>0</v>
      </c>
      <c r="R114" s="917">
        <f t="shared" si="26"/>
        <v>0</v>
      </c>
      <c r="S114" s="918" t="s">
        <v>653</v>
      </c>
      <c r="T114" s="419">
        <f t="shared" si="27"/>
        <v>0</v>
      </c>
      <c r="U114" s="919">
        <f t="shared" si="28"/>
        <v>0</v>
      </c>
      <c r="V114" s="918" t="s">
        <v>653</v>
      </c>
      <c r="W114" s="920" t="str">
        <f t="shared" si="24"/>
        <v>0</v>
      </c>
      <c r="X114" s="460"/>
      <c r="Y114" s="460"/>
      <c r="Z114" s="684"/>
      <c r="AA114" s="684"/>
      <c r="AB114" s="684"/>
      <c r="AC114" s="684"/>
      <c r="AD114" s="684"/>
      <c r="AE114" s="684"/>
      <c r="AF114" s="684"/>
    </row>
    <row r="115" spans="1:32" x14ac:dyDescent="0.25">
      <c r="A115" s="904" t="s">
        <v>1568</v>
      </c>
      <c r="B115" s="923"/>
      <c r="C115" s="854"/>
      <c r="D115" s="916"/>
      <c r="E115" s="855"/>
      <c r="F115" s="855"/>
      <c r="G115" s="850">
        <f t="shared" si="25"/>
        <v>0</v>
      </c>
      <c r="H115" s="854"/>
      <c r="I115" s="916"/>
      <c r="J115" s="855"/>
      <c r="K115" s="855"/>
      <c r="L115" s="850">
        <f t="shared" si="22"/>
        <v>0</v>
      </c>
      <c r="M115" s="854"/>
      <c r="N115" s="916"/>
      <c r="O115" s="855"/>
      <c r="P115" s="855"/>
      <c r="Q115" s="850">
        <f t="shared" si="23"/>
        <v>0</v>
      </c>
      <c r="R115" s="917">
        <f t="shared" si="26"/>
        <v>0</v>
      </c>
      <c r="S115" s="918" t="s">
        <v>653</v>
      </c>
      <c r="T115" s="419">
        <f t="shared" si="27"/>
        <v>0</v>
      </c>
      <c r="U115" s="919">
        <f t="shared" si="28"/>
        <v>0</v>
      </c>
      <c r="V115" s="918" t="s">
        <v>653</v>
      </c>
      <c r="W115" s="920" t="str">
        <f t="shared" si="24"/>
        <v>0</v>
      </c>
      <c r="X115" s="460"/>
      <c r="Y115" s="460"/>
      <c r="Z115" s="684"/>
      <c r="AA115" s="684"/>
      <c r="AB115" s="684"/>
      <c r="AC115" s="684"/>
      <c r="AD115" s="684"/>
      <c r="AE115" s="684"/>
      <c r="AF115" s="684"/>
    </row>
    <row r="116" spans="1:32" x14ac:dyDescent="0.25">
      <c r="A116" s="904" t="s">
        <v>1569</v>
      </c>
      <c r="B116" s="923"/>
      <c r="C116" s="854"/>
      <c r="D116" s="916"/>
      <c r="E116" s="855"/>
      <c r="F116" s="855"/>
      <c r="G116" s="850">
        <f t="shared" si="25"/>
        <v>0</v>
      </c>
      <c r="H116" s="854"/>
      <c r="I116" s="916"/>
      <c r="J116" s="855"/>
      <c r="K116" s="855"/>
      <c r="L116" s="850">
        <f t="shared" si="22"/>
        <v>0</v>
      </c>
      <c r="M116" s="854"/>
      <c r="N116" s="916"/>
      <c r="O116" s="855"/>
      <c r="P116" s="855"/>
      <c r="Q116" s="850">
        <f t="shared" si="23"/>
        <v>0</v>
      </c>
      <c r="R116" s="917">
        <f t="shared" si="26"/>
        <v>0</v>
      </c>
      <c r="S116" s="918" t="s">
        <v>653</v>
      </c>
      <c r="T116" s="419">
        <f t="shared" si="27"/>
        <v>0</v>
      </c>
      <c r="U116" s="919">
        <f t="shared" si="28"/>
        <v>0</v>
      </c>
      <c r="V116" s="918" t="s">
        <v>653</v>
      </c>
      <c r="W116" s="920" t="str">
        <f t="shared" si="24"/>
        <v>0</v>
      </c>
      <c r="X116" s="460"/>
      <c r="Y116" s="460"/>
      <c r="Z116" s="684"/>
      <c r="AA116" s="684"/>
      <c r="AB116" s="684"/>
      <c r="AC116" s="684"/>
      <c r="AD116" s="684"/>
      <c r="AE116" s="684"/>
      <c r="AF116" s="684"/>
    </row>
    <row r="117" spans="1:32" x14ac:dyDescent="0.25">
      <c r="A117" s="904" t="s">
        <v>1570</v>
      </c>
      <c r="B117" s="923"/>
      <c r="C117" s="854"/>
      <c r="D117" s="916"/>
      <c r="E117" s="855"/>
      <c r="F117" s="855"/>
      <c r="G117" s="850">
        <f t="shared" si="25"/>
        <v>0</v>
      </c>
      <c r="H117" s="854"/>
      <c r="I117" s="916"/>
      <c r="J117" s="855"/>
      <c r="K117" s="855"/>
      <c r="L117" s="850">
        <f t="shared" si="22"/>
        <v>0</v>
      </c>
      <c r="M117" s="854"/>
      <c r="N117" s="916"/>
      <c r="O117" s="855"/>
      <c r="P117" s="855"/>
      <c r="Q117" s="850">
        <f t="shared" si="23"/>
        <v>0</v>
      </c>
      <c r="R117" s="917">
        <f t="shared" si="26"/>
        <v>0</v>
      </c>
      <c r="S117" s="918" t="s">
        <v>653</v>
      </c>
      <c r="T117" s="419">
        <f t="shared" si="27"/>
        <v>0</v>
      </c>
      <c r="U117" s="919">
        <f t="shared" si="28"/>
        <v>0</v>
      </c>
      <c r="V117" s="918" t="s">
        <v>653</v>
      </c>
      <c r="W117" s="920" t="str">
        <f t="shared" si="24"/>
        <v>0</v>
      </c>
      <c r="X117" s="460"/>
      <c r="Y117" s="460"/>
      <c r="Z117" s="684"/>
      <c r="AA117" s="684"/>
      <c r="AB117" s="684"/>
      <c r="AC117" s="684"/>
      <c r="AD117" s="684"/>
      <c r="AE117" s="684"/>
      <c r="AF117" s="684"/>
    </row>
    <row r="118" spans="1:32" x14ac:dyDescent="0.25">
      <c r="A118" s="904" t="s">
        <v>1571</v>
      </c>
      <c r="B118" s="923"/>
      <c r="C118" s="854"/>
      <c r="D118" s="916"/>
      <c r="E118" s="855"/>
      <c r="F118" s="855"/>
      <c r="G118" s="850">
        <f t="shared" si="25"/>
        <v>0</v>
      </c>
      <c r="H118" s="854"/>
      <c r="I118" s="916"/>
      <c r="J118" s="855"/>
      <c r="K118" s="855"/>
      <c r="L118" s="850">
        <f t="shared" si="22"/>
        <v>0</v>
      </c>
      <c r="M118" s="854"/>
      <c r="N118" s="916"/>
      <c r="O118" s="855"/>
      <c r="P118" s="855"/>
      <c r="Q118" s="850">
        <f t="shared" si="23"/>
        <v>0</v>
      </c>
      <c r="R118" s="917">
        <f t="shared" si="26"/>
        <v>0</v>
      </c>
      <c r="S118" s="918" t="s">
        <v>653</v>
      </c>
      <c r="T118" s="419">
        <f t="shared" si="27"/>
        <v>0</v>
      </c>
      <c r="U118" s="919">
        <f t="shared" si="28"/>
        <v>0</v>
      </c>
      <c r="V118" s="918" t="s">
        <v>653</v>
      </c>
      <c r="W118" s="920" t="str">
        <f t="shared" si="24"/>
        <v>0</v>
      </c>
      <c r="X118" s="460"/>
      <c r="Y118" s="460"/>
      <c r="Z118" s="684"/>
      <c r="AA118" s="684"/>
      <c r="AB118" s="684"/>
      <c r="AC118" s="684"/>
      <c r="AD118" s="684"/>
      <c r="AE118" s="684"/>
      <c r="AF118" s="684"/>
    </row>
    <row r="119" spans="1:32" x14ac:dyDescent="0.25">
      <c r="A119" s="904" t="s">
        <v>1572</v>
      </c>
      <c r="B119" s="923"/>
      <c r="C119" s="854"/>
      <c r="D119" s="916"/>
      <c r="E119" s="855"/>
      <c r="F119" s="855"/>
      <c r="G119" s="850">
        <f t="shared" si="25"/>
        <v>0</v>
      </c>
      <c r="H119" s="854"/>
      <c r="I119" s="916"/>
      <c r="J119" s="855"/>
      <c r="K119" s="855"/>
      <c r="L119" s="850">
        <f t="shared" si="22"/>
        <v>0</v>
      </c>
      <c r="M119" s="854"/>
      <c r="N119" s="916"/>
      <c r="O119" s="855"/>
      <c r="P119" s="855"/>
      <c r="Q119" s="850">
        <f t="shared" si="23"/>
        <v>0</v>
      </c>
      <c r="R119" s="917">
        <f t="shared" si="26"/>
        <v>0</v>
      </c>
      <c r="S119" s="918" t="s">
        <v>653</v>
      </c>
      <c r="T119" s="419">
        <f t="shared" si="27"/>
        <v>0</v>
      </c>
      <c r="U119" s="919">
        <f t="shared" si="28"/>
        <v>0</v>
      </c>
      <c r="V119" s="918" t="s">
        <v>653</v>
      </c>
      <c r="W119" s="920" t="str">
        <f t="shared" si="24"/>
        <v>0</v>
      </c>
      <c r="X119" s="460"/>
      <c r="Y119" s="460"/>
      <c r="Z119" s="684"/>
      <c r="AA119" s="684"/>
      <c r="AB119" s="684"/>
      <c r="AC119" s="684"/>
      <c r="AD119" s="684"/>
      <c r="AE119" s="684"/>
      <c r="AF119" s="684"/>
    </row>
    <row r="120" spans="1:32" x14ac:dyDescent="0.25">
      <c r="A120" s="904" t="s">
        <v>1573</v>
      </c>
      <c r="B120" s="923"/>
      <c r="C120" s="854"/>
      <c r="D120" s="916"/>
      <c r="E120" s="855"/>
      <c r="F120" s="855"/>
      <c r="G120" s="850">
        <f t="shared" si="25"/>
        <v>0</v>
      </c>
      <c r="H120" s="854"/>
      <c r="I120" s="916"/>
      <c r="J120" s="855"/>
      <c r="K120" s="855"/>
      <c r="L120" s="850">
        <f t="shared" si="22"/>
        <v>0</v>
      </c>
      <c r="M120" s="854"/>
      <c r="N120" s="916"/>
      <c r="O120" s="855"/>
      <c r="P120" s="855"/>
      <c r="Q120" s="850">
        <f t="shared" si="23"/>
        <v>0</v>
      </c>
      <c r="R120" s="917">
        <f t="shared" si="26"/>
        <v>0</v>
      </c>
      <c r="S120" s="918" t="s">
        <v>653</v>
      </c>
      <c r="T120" s="419">
        <f t="shared" si="27"/>
        <v>0</v>
      </c>
      <c r="U120" s="919">
        <f t="shared" si="28"/>
        <v>0</v>
      </c>
      <c r="V120" s="918" t="s">
        <v>653</v>
      </c>
      <c r="W120" s="920" t="str">
        <f t="shared" si="24"/>
        <v>0</v>
      </c>
      <c r="X120" s="460"/>
      <c r="Y120" s="460"/>
      <c r="Z120" s="684"/>
      <c r="AA120" s="684"/>
      <c r="AB120" s="684"/>
      <c r="AC120" s="684"/>
      <c r="AD120" s="684"/>
      <c r="AE120" s="684"/>
      <c r="AF120" s="684"/>
    </row>
    <row r="121" spans="1:32" x14ac:dyDescent="0.25">
      <c r="A121" s="904" t="s">
        <v>1574</v>
      </c>
      <c r="B121" s="923"/>
      <c r="C121" s="854"/>
      <c r="D121" s="916"/>
      <c r="E121" s="855"/>
      <c r="F121" s="855"/>
      <c r="G121" s="850">
        <f t="shared" si="25"/>
        <v>0</v>
      </c>
      <c r="H121" s="854"/>
      <c r="I121" s="916"/>
      <c r="J121" s="855"/>
      <c r="K121" s="855"/>
      <c r="L121" s="850">
        <f t="shared" si="22"/>
        <v>0</v>
      </c>
      <c r="M121" s="854"/>
      <c r="N121" s="916"/>
      <c r="O121" s="855"/>
      <c r="P121" s="855"/>
      <c r="Q121" s="850">
        <f t="shared" si="23"/>
        <v>0</v>
      </c>
      <c r="R121" s="917">
        <f t="shared" si="26"/>
        <v>0</v>
      </c>
      <c r="S121" s="918" t="s">
        <v>653</v>
      </c>
      <c r="T121" s="419">
        <f t="shared" si="27"/>
        <v>0</v>
      </c>
      <c r="U121" s="919">
        <f t="shared" si="28"/>
        <v>0</v>
      </c>
      <c r="V121" s="918" t="s">
        <v>653</v>
      </c>
      <c r="W121" s="920" t="str">
        <f t="shared" si="24"/>
        <v>0</v>
      </c>
      <c r="X121" s="460"/>
      <c r="Y121" s="460"/>
      <c r="Z121" s="684"/>
      <c r="AA121" s="684"/>
      <c r="AB121" s="684"/>
      <c r="AC121" s="684"/>
      <c r="AD121" s="684"/>
      <c r="AE121" s="684"/>
      <c r="AF121" s="684"/>
    </row>
    <row r="122" spans="1:32" x14ac:dyDescent="0.25">
      <c r="A122" s="904" t="s">
        <v>1575</v>
      </c>
      <c r="B122" s="923"/>
      <c r="C122" s="854"/>
      <c r="D122" s="916"/>
      <c r="E122" s="855"/>
      <c r="F122" s="855"/>
      <c r="G122" s="850">
        <f t="shared" si="25"/>
        <v>0</v>
      </c>
      <c r="H122" s="854"/>
      <c r="I122" s="916"/>
      <c r="J122" s="855"/>
      <c r="K122" s="855"/>
      <c r="L122" s="850">
        <f t="shared" si="22"/>
        <v>0</v>
      </c>
      <c r="M122" s="854"/>
      <c r="N122" s="916"/>
      <c r="O122" s="855"/>
      <c r="P122" s="855"/>
      <c r="Q122" s="850">
        <f t="shared" si="23"/>
        <v>0</v>
      </c>
      <c r="R122" s="917">
        <f t="shared" si="26"/>
        <v>0</v>
      </c>
      <c r="S122" s="918" t="s">
        <v>653</v>
      </c>
      <c r="T122" s="419">
        <f t="shared" si="27"/>
        <v>0</v>
      </c>
      <c r="U122" s="919">
        <f t="shared" si="28"/>
        <v>0</v>
      </c>
      <c r="V122" s="918" t="s">
        <v>653</v>
      </c>
      <c r="W122" s="920" t="str">
        <f t="shared" si="24"/>
        <v>0</v>
      </c>
      <c r="X122" s="460"/>
      <c r="Y122" s="460"/>
      <c r="Z122" s="684"/>
      <c r="AA122" s="684"/>
      <c r="AB122" s="684"/>
      <c r="AC122" s="684"/>
      <c r="AD122" s="684"/>
      <c r="AE122" s="684"/>
      <c r="AF122" s="684"/>
    </row>
    <row r="123" spans="1:32" x14ac:dyDescent="0.25">
      <c r="A123" s="904" t="s">
        <v>1576</v>
      </c>
      <c r="B123" s="923"/>
      <c r="C123" s="854"/>
      <c r="D123" s="916"/>
      <c r="E123" s="855"/>
      <c r="F123" s="855"/>
      <c r="G123" s="850">
        <f t="shared" si="25"/>
        <v>0</v>
      </c>
      <c r="H123" s="854"/>
      <c r="I123" s="916"/>
      <c r="J123" s="855"/>
      <c r="K123" s="855"/>
      <c r="L123" s="850">
        <f t="shared" si="22"/>
        <v>0</v>
      </c>
      <c r="M123" s="854"/>
      <c r="N123" s="916"/>
      <c r="O123" s="855"/>
      <c r="P123" s="855"/>
      <c r="Q123" s="850">
        <f t="shared" si="23"/>
        <v>0</v>
      </c>
      <c r="R123" s="917">
        <f t="shared" si="26"/>
        <v>0</v>
      </c>
      <c r="S123" s="918" t="s">
        <v>653</v>
      </c>
      <c r="T123" s="419">
        <f t="shared" si="27"/>
        <v>0</v>
      </c>
      <c r="U123" s="919">
        <f t="shared" si="28"/>
        <v>0</v>
      </c>
      <c r="V123" s="918" t="s">
        <v>653</v>
      </c>
      <c r="W123" s="920" t="str">
        <f t="shared" si="24"/>
        <v>0</v>
      </c>
      <c r="X123" s="460"/>
      <c r="Y123" s="460"/>
      <c r="Z123" s="684"/>
      <c r="AA123" s="684"/>
      <c r="AB123" s="684"/>
      <c r="AC123" s="684"/>
      <c r="AD123" s="684"/>
      <c r="AE123" s="684"/>
      <c r="AF123" s="684"/>
    </row>
    <row r="124" spans="1:32" x14ac:dyDescent="0.25">
      <c r="A124" s="904" t="s">
        <v>1577</v>
      </c>
      <c r="B124" s="923"/>
      <c r="C124" s="854"/>
      <c r="D124" s="916"/>
      <c r="E124" s="855"/>
      <c r="F124" s="855"/>
      <c r="G124" s="850">
        <f t="shared" si="25"/>
        <v>0</v>
      </c>
      <c r="H124" s="854"/>
      <c r="I124" s="916"/>
      <c r="J124" s="855"/>
      <c r="K124" s="855"/>
      <c r="L124" s="850">
        <f t="shared" si="22"/>
        <v>0</v>
      </c>
      <c r="M124" s="854"/>
      <c r="N124" s="916"/>
      <c r="O124" s="855"/>
      <c r="P124" s="855"/>
      <c r="Q124" s="850">
        <f t="shared" si="23"/>
        <v>0</v>
      </c>
      <c r="R124" s="917">
        <f t="shared" si="26"/>
        <v>0</v>
      </c>
      <c r="S124" s="918" t="s">
        <v>653</v>
      </c>
      <c r="T124" s="419">
        <f t="shared" si="27"/>
        <v>0</v>
      </c>
      <c r="U124" s="919">
        <f t="shared" si="28"/>
        <v>0</v>
      </c>
      <c r="V124" s="918" t="s">
        <v>653</v>
      </c>
      <c r="W124" s="920" t="str">
        <f t="shared" si="24"/>
        <v>0</v>
      </c>
      <c r="X124" s="460"/>
      <c r="Y124" s="460"/>
      <c r="Z124" s="684"/>
      <c r="AA124" s="684"/>
      <c r="AB124" s="684"/>
      <c r="AC124" s="684"/>
      <c r="AD124" s="684"/>
      <c r="AE124" s="684"/>
      <c r="AF124" s="684"/>
    </row>
    <row r="125" spans="1:32" x14ac:dyDescent="0.25">
      <c r="A125" s="904" t="s">
        <v>1578</v>
      </c>
      <c r="B125" s="923"/>
      <c r="C125" s="854"/>
      <c r="D125" s="916"/>
      <c r="E125" s="855"/>
      <c r="F125" s="855"/>
      <c r="G125" s="850">
        <f t="shared" si="25"/>
        <v>0</v>
      </c>
      <c r="H125" s="854"/>
      <c r="I125" s="916"/>
      <c r="J125" s="855"/>
      <c r="K125" s="855"/>
      <c r="L125" s="850">
        <f t="shared" si="22"/>
        <v>0</v>
      </c>
      <c r="M125" s="854"/>
      <c r="N125" s="916"/>
      <c r="O125" s="855"/>
      <c r="P125" s="855"/>
      <c r="Q125" s="850">
        <f t="shared" si="23"/>
        <v>0</v>
      </c>
      <c r="R125" s="917">
        <f t="shared" si="26"/>
        <v>0</v>
      </c>
      <c r="S125" s="918" t="s">
        <v>653</v>
      </c>
      <c r="T125" s="419">
        <f t="shared" si="27"/>
        <v>0</v>
      </c>
      <c r="U125" s="919">
        <f t="shared" si="28"/>
        <v>0</v>
      </c>
      <c r="V125" s="918" t="s">
        <v>653</v>
      </c>
      <c r="W125" s="920" t="str">
        <f t="shared" si="24"/>
        <v>0</v>
      </c>
      <c r="X125" s="460"/>
      <c r="Y125" s="460"/>
      <c r="Z125" s="684"/>
      <c r="AA125" s="684"/>
      <c r="AB125" s="684"/>
      <c r="AC125" s="684"/>
      <c r="AD125" s="684"/>
      <c r="AE125" s="684"/>
      <c r="AF125" s="684"/>
    </row>
    <row r="126" spans="1:32" x14ac:dyDescent="0.25">
      <c r="A126" s="904" t="s">
        <v>1579</v>
      </c>
      <c r="B126" s="923"/>
      <c r="C126" s="854"/>
      <c r="D126" s="916"/>
      <c r="E126" s="855"/>
      <c r="F126" s="855"/>
      <c r="G126" s="850">
        <f t="shared" si="25"/>
        <v>0</v>
      </c>
      <c r="H126" s="854"/>
      <c r="I126" s="916"/>
      <c r="J126" s="855"/>
      <c r="K126" s="855"/>
      <c r="L126" s="850">
        <f t="shared" si="22"/>
        <v>0</v>
      </c>
      <c r="M126" s="854"/>
      <c r="N126" s="916"/>
      <c r="O126" s="855"/>
      <c r="P126" s="855"/>
      <c r="Q126" s="850">
        <f t="shared" si="23"/>
        <v>0</v>
      </c>
      <c r="R126" s="917">
        <f t="shared" si="26"/>
        <v>0</v>
      </c>
      <c r="S126" s="918" t="s">
        <v>653</v>
      </c>
      <c r="T126" s="419">
        <f t="shared" si="27"/>
        <v>0</v>
      </c>
      <c r="U126" s="919">
        <f t="shared" si="28"/>
        <v>0</v>
      </c>
      <c r="V126" s="918" t="s">
        <v>653</v>
      </c>
      <c r="W126" s="920" t="str">
        <f t="shared" si="24"/>
        <v>0</v>
      </c>
      <c r="X126" s="460"/>
      <c r="Y126" s="460"/>
      <c r="Z126" s="684"/>
      <c r="AA126" s="684"/>
      <c r="AB126" s="684"/>
      <c r="AC126" s="684"/>
      <c r="AD126" s="684"/>
      <c r="AE126" s="684"/>
      <c r="AF126" s="684"/>
    </row>
    <row r="127" spans="1:32" x14ac:dyDescent="0.25">
      <c r="A127" s="904" t="s">
        <v>1580</v>
      </c>
      <c r="B127" s="923"/>
      <c r="C127" s="854"/>
      <c r="D127" s="916"/>
      <c r="E127" s="855"/>
      <c r="F127" s="855"/>
      <c r="G127" s="850">
        <f t="shared" si="25"/>
        <v>0</v>
      </c>
      <c r="H127" s="854"/>
      <c r="I127" s="916"/>
      <c r="J127" s="855"/>
      <c r="K127" s="855"/>
      <c r="L127" s="850">
        <f t="shared" si="22"/>
        <v>0</v>
      </c>
      <c r="M127" s="854"/>
      <c r="N127" s="916"/>
      <c r="O127" s="855"/>
      <c r="P127" s="855"/>
      <c r="Q127" s="850">
        <f t="shared" si="23"/>
        <v>0</v>
      </c>
      <c r="R127" s="917">
        <f t="shared" si="26"/>
        <v>0</v>
      </c>
      <c r="S127" s="918" t="s">
        <v>653</v>
      </c>
      <c r="T127" s="419">
        <f t="shared" si="27"/>
        <v>0</v>
      </c>
      <c r="U127" s="919">
        <f t="shared" si="28"/>
        <v>0</v>
      </c>
      <c r="V127" s="918" t="s">
        <v>653</v>
      </c>
      <c r="W127" s="920" t="str">
        <f t="shared" si="24"/>
        <v>0</v>
      </c>
      <c r="X127" s="460"/>
      <c r="Y127" s="460"/>
      <c r="Z127" s="684"/>
      <c r="AA127" s="684"/>
      <c r="AB127" s="684"/>
      <c r="AC127" s="684"/>
      <c r="AD127" s="684"/>
      <c r="AE127" s="684"/>
      <c r="AF127" s="684"/>
    </row>
    <row r="128" spans="1:32" x14ac:dyDescent="0.25">
      <c r="A128" s="904" t="s">
        <v>1581</v>
      </c>
      <c r="B128" s="923"/>
      <c r="C128" s="854"/>
      <c r="D128" s="916"/>
      <c r="E128" s="855"/>
      <c r="F128" s="855"/>
      <c r="G128" s="850">
        <f t="shared" si="25"/>
        <v>0</v>
      </c>
      <c r="H128" s="854"/>
      <c r="I128" s="916"/>
      <c r="J128" s="855"/>
      <c r="K128" s="855"/>
      <c r="L128" s="850">
        <f t="shared" si="22"/>
        <v>0</v>
      </c>
      <c r="M128" s="854"/>
      <c r="N128" s="916"/>
      <c r="O128" s="855"/>
      <c r="P128" s="855"/>
      <c r="Q128" s="850">
        <f t="shared" si="23"/>
        <v>0</v>
      </c>
      <c r="R128" s="917">
        <f t="shared" si="26"/>
        <v>0</v>
      </c>
      <c r="S128" s="918" t="s">
        <v>653</v>
      </c>
      <c r="T128" s="419">
        <f t="shared" si="27"/>
        <v>0</v>
      </c>
      <c r="U128" s="919">
        <f t="shared" si="28"/>
        <v>0</v>
      </c>
      <c r="V128" s="918" t="s">
        <v>653</v>
      </c>
      <c r="W128" s="920" t="str">
        <f t="shared" si="24"/>
        <v>0</v>
      </c>
      <c r="X128" s="460"/>
      <c r="Y128" s="460"/>
      <c r="Z128" s="684"/>
      <c r="AA128" s="684"/>
      <c r="AB128" s="684"/>
      <c r="AC128" s="684"/>
      <c r="AD128" s="684"/>
      <c r="AE128" s="684"/>
      <c r="AF128" s="684"/>
    </row>
    <row r="129" spans="1:32" x14ac:dyDescent="0.25">
      <c r="A129" s="904" t="s">
        <v>1582</v>
      </c>
      <c r="B129" s="923"/>
      <c r="C129" s="854"/>
      <c r="D129" s="916"/>
      <c r="E129" s="855"/>
      <c r="F129" s="855"/>
      <c r="G129" s="850">
        <f t="shared" si="25"/>
        <v>0</v>
      </c>
      <c r="H129" s="854"/>
      <c r="I129" s="916"/>
      <c r="J129" s="855"/>
      <c r="K129" s="855"/>
      <c r="L129" s="850">
        <f t="shared" si="22"/>
        <v>0</v>
      </c>
      <c r="M129" s="854"/>
      <c r="N129" s="916"/>
      <c r="O129" s="855"/>
      <c r="P129" s="855"/>
      <c r="Q129" s="850">
        <f t="shared" si="23"/>
        <v>0</v>
      </c>
      <c r="R129" s="917">
        <f t="shared" si="26"/>
        <v>0</v>
      </c>
      <c r="S129" s="918" t="s">
        <v>653</v>
      </c>
      <c r="T129" s="419">
        <f t="shared" si="27"/>
        <v>0</v>
      </c>
      <c r="U129" s="919">
        <f t="shared" si="28"/>
        <v>0</v>
      </c>
      <c r="V129" s="918" t="s">
        <v>653</v>
      </c>
      <c r="W129" s="920" t="str">
        <f t="shared" si="24"/>
        <v>0</v>
      </c>
      <c r="X129" s="460"/>
      <c r="Y129" s="460"/>
      <c r="Z129" s="684"/>
      <c r="AA129" s="684"/>
      <c r="AB129" s="684"/>
      <c r="AC129" s="684"/>
      <c r="AD129" s="684"/>
      <c r="AE129" s="684"/>
      <c r="AF129" s="684"/>
    </row>
    <row r="130" spans="1:32" ht="15.75" thickBot="1" x14ac:dyDescent="0.3">
      <c r="A130" s="926" t="s">
        <v>1583</v>
      </c>
      <c r="B130" s="927"/>
      <c r="C130" s="928"/>
      <c r="D130" s="929"/>
      <c r="E130" s="930"/>
      <c r="F130" s="930"/>
      <c r="G130" s="931">
        <f t="shared" si="25"/>
        <v>0</v>
      </c>
      <c r="H130" s="928"/>
      <c r="I130" s="929"/>
      <c r="J130" s="930"/>
      <c r="K130" s="930"/>
      <c r="L130" s="931">
        <f t="shared" si="22"/>
        <v>0</v>
      </c>
      <c r="M130" s="928"/>
      <c r="N130" s="929"/>
      <c r="O130" s="930"/>
      <c r="P130" s="930"/>
      <c r="Q130" s="931">
        <f t="shared" si="23"/>
        <v>0</v>
      </c>
      <c r="R130" s="932">
        <f t="shared" si="26"/>
        <v>0</v>
      </c>
      <c r="S130" s="933" t="s">
        <v>653</v>
      </c>
      <c r="T130" s="934">
        <f t="shared" si="27"/>
        <v>0</v>
      </c>
      <c r="U130" s="935">
        <f t="shared" si="28"/>
        <v>0</v>
      </c>
      <c r="V130" s="933" t="s">
        <v>653</v>
      </c>
      <c r="W130" s="936" t="str">
        <f t="shared" si="24"/>
        <v>0</v>
      </c>
      <c r="X130" s="460"/>
      <c r="Y130" s="460"/>
      <c r="Z130" s="684"/>
      <c r="AA130" s="684"/>
      <c r="AB130" s="684"/>
      <c r="AC130" s="684"/>
      <c r="AD130" s="684"/>
      <c r="AE130" s="684"/>
      <c r="AF130" s="684"/>
    </row>
    <row r="131" spans="1:32" x14ac:dyDescent="0.25">
      <c r="A131" s="937"/>
      <c r="B131" s="938"/>
      <c r="C131" s="939"/>
      <c r="D131" s="939"/>
      <c r="E131" s="939"/>
      <c r="F131" s="939"/>
      <c r="G131" s="939"/>
      <c r="H131" s="939"/>
      <c r="I131" s="939"/>
      <c r="J131" s="939"/>
      <c r="K131" s="939"/>
      <c r="L131" s="939"/>
      <c r="M131" s="939"/>
      <c r="N131" s="939"/>
      <c r="O131" s="939"/>
      <c r="P131" s="939"/>
      <c r="Q131" s="939"/>
      <c r="R131" s="939"/>
      <c r="S131" s="939"/>
      <c r="T131" s="939"/>
      <c r="U131" s="939"/>
      <c r="V131" s="939"/>
      <c r="W131" s="939"/>
      <c r="X131" s="460"/>
      <c r="Y131" s="460"/>
      <c r="Z131" s="684"/>
      <c r="AA131" s="684"/>
      <c r="AB131" s="684"/>
      <c r="AC131" s="684"/>
      <c r="AD131" s="684"/>
      <c r="AE131" s="684"/>
      <c r="AF131" s="684"/>
    </row>
    <row r="132" spans="1:32" x14ac:dyDescent="0.25">
      <c r="A132" s="937"/>
      <c r="B132" s="938"/>
      <c r="C132" s="939"/>
      <c r="D132" s="939"/>
      <c r="E132" s="939"/>
      <c r="F132" s="939"/>
      <c r="G132" s="939"/>
      <c r="H132" s="939"/>
      <c r="I132" s="939"/>
      <c r="J132" s="939"/>
      <c r="K132" s="939"/>
      <c r="L132" s="939"/>
      <c r="M132" s="939"/>
      <c r="N132" s="939"/>
      <c r="O132" s="939"/>
      <c r="P132" s="939"/>
      <c r="Q132" s="939"/>
      <c r="R132" s="939"/>
      <c r="S132" s="939"/>
      <c r="T132" s="939"/>
      <c r="U132" s="939"/>
      <c r="V132" s="939"/>
      <c r="W132" s="939"/>
      <c r="X132" s="460"/>
      <c r="Y132" s="460"/>
      <c r="Z132" s="684"/>
      <c r="AA132" s="684"/>
      <c r="AB132" s="684"/>
      <c r="AC132" s="684"/>
      <c r="AD132" s="684"/>
      <c r="AE132" s="684"/>
      <c r="AF132" s="684"/>
    </row>
    <row r="133" spans="1:32" x14ac:dyDescent="0.25">
      <c r="A133" s="940"/>
      <c r="B133" s="940"/>
      <c r="C133" s="940"/>
      <c r="D133" s="940"/>
      <c r="E133" s="940"/>
      <c r="F133" s="940"/>
      <c r="G133" s="940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</row>
    <row r="134" spans="1:32" x14ac:dyDescent="0.25">
      <c r="A134" s="585"/>
      <c r="B134" s="582"/>
      <c r="C134" s="585"/>
      <c r="D134" s="656"/>
      <c r="E134" s="656"/>
      <c r="F134" s="656"/>
      <c r="G134" s="585"/>
      <c r="H134" s="206"/>
      <c r="I134" s="1134"/>
      <c r="J134" s="1134"/>
      <c r="K134" s="1134"/>
      <c r="L134" s="1134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</row>
    <row r="135" spans="1:32" x14ac:dyDescent="0.25">
      <c r="A135" s="585"/>
      <c r="B135" s="585"/>
      <c r="C135" s="585"/>
      <c r="D135" s="585"/>
      <c r="E135" s="585"/>
      <c r="F135" s="585"/>
      <c r="G135" s="585"/>
      <c r="H135" s="206"/>
      <c r="I135" s="206"/>
      <c r="J135" s="206"/>
      <c r="K135" s="206"/>
      <c r="L135" s="206"/>
      <c r="M135" s="206"/>
      <c r="N135" s="206"/>
      <c r="O135" s="206"/>
      <c r="P135" s="206"/>
      <c r="Q135" s="818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</row>
    <row r="136" spans="1:32" x14ac:dyDescent="0.25">
      <c r="A136" s="585"/>
      <c r="B136" s="585"/>
      <c r="C136" s="585"/>
      <c r="D136" s="585"/>
      <c r="E136" s="585"/>
      <c r="F136" s="585"/>
      <c r="G136" s="585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</row>
    <row r="137" spans="1:32" x14ac:dyDescent="0.25">
      <c r="A137" s="585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</row>
  </sheetData>
  <sheetProtection algorithmName="SHA-512" hashValue="R6HQcz+Sv9q9/C1baHTn3VNrvBI2S33wDN1+U8GXD1D79KI3G8EgY9x48ca7kncp8lw3xwr/MzEfe2/4IS+UDQ==" saltValue="m+2swwWYtMLS9qVIAyHxJliJ1ZfGOiKGIcUmidEWjbvhI84cXefCeRi1ol45qHYCu7VROCGevzGJEJhAk2WiIw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8"/>
  <sheetViews>
    <sheetView workbookViewId="0">
      <selection activeCell="J30" sqref="J30"/>
    </sheetView>
  </sheetViews>
  <sheetFormatPr defaultRowHeight="15" x14ac:dyDescent="0.25"/>
  <cols>
    <col min="1" max="1" width="20.140625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2"/>
    </row>
    <row r="2" spans="1:12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2"/>
    </row>
    <row r="3" spans="1:12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5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095" t="s">
        <v>1584</v>
      </c>
      <c r="B5" s="1096"/>
      <c r="C5" s="1096"/>
      <c r="D5" s="1096"/>
      <c r="E5" s="1096"/>
      <c r="F5" s="1096"/>
      <c r="G5" s="1096"/>
      <c r="H5" s="1096"/>
      <c r="I5" s="1096"/>
      <c r="J5" s="1097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 x14ac:dyDescent="0.3">
      <c r="B8" s="1159" t="s">
        <v>1585</v>
      </c>
      <c r="C8" s="1159"/>
      <c r="D8" s="1159"/>
      <c r="E8" s="1159"/>
      <c r="F8" s="1159"/>
      <c r="G8" s="1159"/>
      <c r="H8" s="1159"/>
      <c r="I8" s="1159"/>
      <c r="J8" s="1159"/>
    </row>
    <row r="9" spans="1:12" ht="16.5" thickBot="1" x14ac:dyDescent="0.3">
      <c r="A9" s="1101" t="s">
        <v>1586</v>
      </c>
      <c r="B9" s="1153" t="s">
        <v>1587</v>
      </c>
      <c r="C9" s="1154"/>
      <c r="D9" s="1154"/>
      <c r="E9" s="1155"/>
      <c r="F9" s="1156" t="s">
        <v>1588</v>
      </c>
      <c r="G9" s="1157"/>
      <c r="H9" s="1098" t="s">
        <v>177</v>
      </c>
      <c r="I9" s="1105"/>
      <c r="J9" s="1150" t="s">
        <v>1589</v>
      </c>
      <c r="L9" s="7"/>
    </row>
    <row r="10" spans="1:12" ht="16.5" thickBot="1" x14ac:dyDescent="0.3">
      <c r="A10" s="1102"/>
      <c r="B10" s="1148" t="s">
        <v>1590</v>
      </c>
      <c r="C10" s="1149"/>
      <c r="D10" s="1148" t="s">
        <v>1591</v>
      </c>
      <c r="E10" s="1149"/>
      <c r="F10" s="1148"/>
      <c r="G10" s="1149"/>
      <c r="H10" s="1100"/>
      <c r="I10" s="1158"/>
      <c r="J10" s="1151"/>
    </row>
    <row r="11" spans="1:12" ht="16.5" thickBot="1" x14ac:dyDescent="0.3">
      <c r="A11" s="1103"/>
      <c r="B11" s="941" t="s">
        <v>1592</v>
      </c>
      <c r="C11" s="942" t="s">
        <v>1593</v>
      </c>
      <c r="D11" s="941" t="s">
        <v>1592</v>
      </c>
      <c r="E11" s="942" t="s">
        <v>1593</v>
      </c>
      <c r="F11" s="941" t="s">
        <v>1592</v>
      </c>
      <c r="G11" s="942" t="s">
        <v>1593</v>
      </c>
      <c r="H11" s="941" t="s">
        <v>1592</v>
      </c>
      <c r="I11" s="942" t="s">
        <v>1593</v>
      </c>
      <c r="J11" s="1152"/>
    </row>
    <row r="12" spans="1:12" ht="15.75" x14ac:dyDescent="0.25">
      <c r="A12" s="659" t="s">
        <v>1594</v>
      </c>
      <c r="B12" s="943">
        <v>0</v>
      </c>
      <c r="C12" s="943">
        <v>0</v>
      </c>
      <c r="D12" s="943">
        <v>0</v>
      </c>
      <c r="E12" s="943">
        <v>0</v>
      </c>
      <c r="F12" s="943">
        <v>0</v>
      </c>
      <c r="G12" s="943">
        <v>0</v>
      </c>
      <c r="H12" s="944">
        <v>0</v>
      </c>
      <c r="I12" s="943">
        <v>0</v>
      </c>
      <c r="J12" s="945">
        <f>SUM(B12:I12)</f>
        <v>0</v>
      </c>
      <c r="K12" s="946"/>
    </row>
    <row r="13" spans="1:12" ht="15.75" x14ac:dyDescent="0.25">
      <c r="A13" s="667" t="s">
        <v>1595</v>
      </c>
      <c r="B13" s="947">
        <v>0</v>
      </c>
      <c r="C13" s="943">
        <v>0</v>
      </c>
      <c r="D13" s="947">
        <v>0</v>
      </c>
      <c r="E13" s="943">
        <v>0</v>
      </c>
      <c r="F13" s="947">
        <v>0</v>
      </c>
      <c r="G13" s="943">
        <v>0</v>
      </c>
      <c r="H13" s="948">
        <v>0</v>
      </c>
      <c r="I13" s="943">
        <v>0</v>
      </c>
      <c r="J13" s="945">
        <f>SUM(B13:I13)</f>
        <v>0</v>
      </c>
      <c r="K13" s="946"/>
    </row>
    <row r="14" spans="1:12" ht="15.75" x14ac:dyDescent="0.25">
      <c r="A14" s="949" t="s">
        <v>1596</v>
      </c>
      <c r="B14" s="950">
        <v>0</v>
      </c>
      <c r="C14" s="951">
        <v>0</v>
      </c>
      <c r="D14" s="950">
        <v>0</v>
      </c>
      <c r="E14" s="951">
        <v>0</v>
      </c>
      <c r="F14" s="950">
        <v>0</v>
      </c>
      <c r="G14" s="951">
        <v>0</v>
      </c>
      <c r="H14" s="952">
        <v>0</v>
      </c>
      <c r="I14" s="951">
        <v>0</v>
      </c>
      <c r="J14" s="953">
        <f>SUM(B14:I14)</f>
        <v>0</v>
      </c>
      <c r="K14" s="946"/>
    </row>
    <row r="15" spans="1:12" ht="47.25" x14ac:dyDescent="0.25">
      <c r="A15" s="954" t="s">
        <v>1597</v>
      </c>
      <c r="B15" s="947">
        <v>0</v>
      </c>
      <c r="C15" s="947">
        <v>0</v>
      </c>
      <c r="D15" s="947">
        <v>0</v>
      </c>
      <c r="E15" s="947">
        <v>0</v>
      </c>
      <c r="F15" s="947">
        <v>0</v>
      </c>
      <c r="G15" s="947">
        <v>0</v>
      </c>
      <c r="H15" s="947">
        <v>0</v>
      </c>
      <c r="I15" s="947">
        <v>0</v>
      </c>
      <c r="J15" s="955">
        <f>SUM(B15:I15)</f>
        <v>0</v>
      </c>
      <c r="K15" s="946"/>
    </row>
    <row r="16" spans="1:12" ht="16.5" thickBot="1" x14ac:dyDescent="0.3">
      <c r="A16" s="956" t="s">
        <v>1598</v>
      </c>
      <c r="B16" s="957">
        <f>SUM(B12:B14)</f>
        <v>0</v>
      </c>
      <c r="C16" s="957">
        <f t="shared" ref="C16:I16" si="0">SUM(C12:C14)</f>
        <v>0</v>
      </c>
      <c r="D16" s="957">
        <f t="shared" si="0"/>
        <v>0</v>
      </c>
      <c r="E16" s="957">
        <f t="shared" si="0"/>
        <v>0</v>
      </c>
      <c r="F16" s="957">
        <f t="shared" si="0"/>
        <v>0</v>
      </c>
      <c r="G16" s="957">
        <f t="shared" si="0"/>
        <v>0</v>
      </c>
      <c r="H16" s="957">
        <f t="shared" si="0"/>
        <v>0</v>
      </c>
      <c r="I16" s="957">
        <f t="shared" si="0"/>
        <v>0</v>
      </c>
      <c r="J16" s="958">
        <f>SUM(J12:J14)</f>
        <v>0</v>
      </c>
    </row>
    <row r="18" spans="1:1" x14ac:dyDescent="0.25">
      <c r="A18" s="589"/>
    </row>
  </sheetData>
  <sheetProtection algorithmName="SHA-512" hashValue="la68c2XgNZeAKvx6Cj2DKfsfOXYZeLpgIHLwejFPNmjG2w+p+xIwWjSjX61uXngjurr0tbp9/6/WkelzirRQEw==" saltValue="RhcWIRIH4Q/h7OZd6viDfUbteB69VI3zMZ7oxPhSdxvrdmRyoud/0wwWg01vPVPURwP/J6Bgwlm+Y4QoJWFFAg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topLeftCell="A7" workbookViewId="0">
      <selection activeCell="F50" sqref="F50"/>
    </sheetView>
  </sheetViews>
  <sheetFormatPr defaultRowHeight="15" x14ac:dyDescent="0.2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 x14ac:dyDescent="0.25">
      <c r="A1" s="960" t="s">
        <v>0</v>
      </c>
      <c r="B1" s="961"/>
      <c r="C1" s="961"/>
      <c r="D1" s="962"/>
    </row>
    <row r="2" spans="1:6" x14ac:dyDescent="0.25">
      <c r="A2" s="960" t="s">
        <v>1</v>
      </c>
      <c r="B2" s="961"/>
      <c r="C2" s="961"/>
      <c r="D2" s="962"/>
    </row>
    <row r="3" spans="1:6" x14ac:dyDescent="0.25">
      <c r="A3" s="963"/>
      <c r="B3" s="964"/>
      <c r="C3" s="964"/>
      <c r="D3" s="965"/>
    </row>
    <row r="4" spans="1:6" x14ac:dyDescent="0.25">
      <c r="A4" s="1"/>
      <c r="B4" s="1"/>
      <c r="C4" s="1"/>
      <c r="D4" s="1"/>
    </row>
    <row r="5" spans="1:6" x14ac:dyDescent="0.25">
      <c r="A5" s="966" t="s">
        <v>156</v>
      </c>
      <c r="B5" s="967"/>
      <c r="C5" s="967"/>
      <c r="D5" s="968"/>
    </row>
    <row r="6" spans="1:6" x14ac:dyDescent="0.25">
      <c r="A6" s="970" t="s">
        <v>157</v>
      </c>
      <c r="B6" s="971"/>
      <c r="C6" s="971"/>
      <c r="D6" s="971"/>
    </row>
    <row r="7" spans="1:6" x14ac:dyDescent="0.25">
      <c r="A7" s="971"/>
      <c r="B7" s="971"/>
      <c r="C7" s="971"/>
      <c r="D7" s="971"/>
    </row>
    <row r="8" spans="1:6" x14ac:dyDescent="0.25">
      <c r="A8" s="1"/>
      <c r="B8" s="1"/>
      <c r="C8" s="1"/>
      <c r="D8" s="1"/>
    </row>
    <row r="9" spans="1:6" ht="15.75" thickBot="1" x14ac:dyDescent="0.3">
      <c r="A9" s="969" t="s">
        <v>158</v>
      </c>
      <c r="B9" s="969"/>
      <c r="C9" s="969"/>
      <c r="D9" s="969"/>
    </row>
    <row r="10" spans="1:6" ht="15.75" thickBot="1" x14ac:dyDescent="0.3">
      <c r="A10" s="47" t="s">
        <v>4</v>
      </c>
      <c r="B10" s="48" t="s">
        <v>159</v>
      </c>
      <c r="C10" s="49" t="s">
        <v>160</v>
      </c>
      <c r="D10" s="50" t="s">
        <v>1600</v>
      </c>
      <c r="E10" s="51"/>
      <c r="F10" s="7"/>
    </row>
    <row r="11" spans="1:6" x14ac:dyDescent="0.25">
      <c r="A11" s="52">
        <v>1</v>
      </c>
      <c r="B11" s="53">
        <v>2</v>
      </c>
      <c r="C11" s="54">
        <v>3</v>
      </c>
      <c r="D11" s="55">
        <v>4</v>
      </c>
      <c r="E11" s="56"/>
      <c r="F11" s="7"/>
    </row>
    <row r="12" spans="1:6" x14ac:dyDescent="0.25">
      <c r="A12" s="57">
        <v>1</v>
      </c>
      <c r="B12" s="39" t="s">
        <v>161</v>
      </c>
      <c r="C12" s="13" t="s">
        <v>162</v>
      </c>
      <c r="D12" s="58">
        <v>0</v>
      </c>
      <c r="E12" s="59"/>
      <c r="F12" s="7"/>
    </row>
    <row r="13" spans="1:6" x14ac:dyDescent="0.25">
      <c r="A13" s="57">
        <v>2</v>
      </c>
      <c r="B13" s="13" t="s">
        <v>163</v>
      </c>
      <c r="C13" s="13" t="s">
        <v>162</v>
      </c>
      <c r="D13" s="60">
        <v>0</v>
      </c>
      <c r="E13" s="61"/>
      <c r="F13" s="7"/>
    </row>
    <row r="14" spans="1:6" x14ac:dyDescent="0.25">
      <c r="A14" s="57">
        <v>3</v>
      </c>
      <c r="B14" s="39" t="s">
        <v>164</v>
      </c>
      <c r="C14" s="13" t="s">
        <v>162</v>
      </c>
      <c r="D14" s="62">
        <v>0</v>
      </c>
      <c r="E14" s="61"/>
      <c r="F14" s="7"/>
    </row>
    <row r="15" spans="1:6" x14ac:dyDescent="0.25">
      <c r="A15" s="57" t="s">
        <v>165</v>
      </c>
      <c r="B15" s="63" t="s">
        <v>166</v>
      </c>
      <c r="C15" s="13" t="s">
        <v>162</v>
      </c>
      <c r="D15" s="60">
        <v>0</v>
      </c>
      <c r="E15" s="64"/>
      <c r="F15" s="7"/>
    </row>
    <row r="16" spans="1:6" x14ac:dyDescent="0.25">
      <c r="A16" s="57" t="s">
        <v>167</v>
      </c>
      <c r="B16" s="65" t="s">
        <v>168</v>
      </c>
      <c r="C16" s="37" t="s">
        <v>162</v>
      </c>
      <c r="D16" s="66">
        <v>0</v>
      </c>
      <c r="E16" s="64"/>
    </row>
    <row r="17" spans="1:5" x14ac:dyDescent="0.25">
      <c r="A17" s="57" t="s">
        <v>169</v>
      </c>
      <c r="B17" s="39" t="s">
        <v>170</v>
      </c>
      <c r="C17" s="13" t="s">
        <v>162</v>
      </c>
      <c r="D17" s="67">
        <f>SUM(D18,D22,D24)</f>
        <v>0</v>
      </c>
      <c r="E17" s="68"/>
    </row>
    <row r="18" spans="1:5" x14ac:dyDescent="0.25">
      <c r="A18" s="57" t="s">
        <v>171</v>
      </c>
      <c r="B18" s="13" t="s">
        <v>172</v>
      </c>
      <c r="C18" s="13" t="s">
        <v>162</v>
      </c>
      <c r="D18" s="69">
        <f>SUM(D19,D21)</f>
        <v>0</v>
      </c>
      <c r="E18" s="64"/>
    </row>
    <row r="19" spans="1:5" x14ac:dyDescent="0.25">
      <c r="A19" s="57" t="s">
        <v>173</v>
      </c>
      <c r="B19" s="65" t="s">
        <v>174</v>
      </c>
      <c r="C19" s="37" t="s">
        <v>162</v>
      </c>
      <c r="D19" s="66">
        <v>0</v>
      </c>
      <c r="E19" s="70"/>
    </row>
    <row r="20" spans="1:5" x14ac:dyDescent="0.25">
      <c r="A20" s="57" t="s">
        <v>175</v>
      </c>
      <c r="B20" s="65" t="s">
        <v>168</v>
      </c>
      <c r="C20" s="37" t="s">
        <v>162</v>
      </c>
      <c r="D20" s="66">
        <v>0</v>
      </c>
      <c r="E20" s="71"/>
    </row>
    <row r="21" spans="1:5" x14ac:dyDescent="0.25">
      <c r="A21" s="57" t="s">
        <v>176</v>
      </c>
      <c r="B21" s="65" t="s">
        <v>177</v>
      </c>
      <c r="C21" s="37" t="s">
        <v>162</v>
      </c>
      <c r="D21" s="66">
        <v>0</v>
      </c>
      <c r="E21" s="72"/>
    </row>
    <row r="22" spans="1:5" x14ac:dyDescent="0.25">
      <c r="A22" s="57" t="s">
        <v>178</v>
      </c>
      <c r="B22" s="13" t="s">
        <v>179</v>
      </c>
      <c r="C22" s="13" t="s">
        <v>162</v>
      </c>
      <c r="D22" s="60">
        <v>0</v>
      </c>
      <c r="E22" s="64"/>
    </row>
    <row r="23" spans="1:5" x14ac:dyDescent="0.25">
      <c r="A23" s="57" t="s">
        <v>180</v>
      </c>
      <c r="B23" s="65" t="s">
        <v>181</v>
      </c>
      <c r="C23" s="37" t="s">
        <v>162</v>
      </c>
      <c r="D23" s="66">
        <v>0</v>
      </c>
      <c r="E23" s="64"/>
    </row>
    <row r="24" spans="1:5" x14ac:dyDescent="0.25">
      <c r="A24" s="57" t="s">
        <v>182</v>
      </c>
      <c r="B24" s="13" t="s">
        <v>183</v>
      </c>
      <c r="C24" s="13" t="s">
        <v>162</v>
      </c>
      <c r="D24" s="60">
        <v>0</v>
      </c>
      <c r="E24" s="73"/>
    </row>
    <row r="25" spans="1:5" x14ac:dyDescent="0.25">
      <c r="A25" s="74" t="s">
        <v>184</v>
      </c>
      <c r="B25" s="75" t="s">
        <v>185</v>
      </c>
      <c r="C25" s="75" t="s">
        <v>186</v>
      </c>
      <c r="D25" s="76">
        <f>IF(D12=0,0,(D12-D17)/D12*100)</f>
        <v>0</v>
      </c>
      <c r="E25" s="68"/>
    </row>
    <row r="26" spans="1:5" x14ac:dyDescent="0.25">
      <c r="A26" s="77" t="s">
        <v>187</v>
      </c>
      <c r="B26" s="63" t="s">
        <v>188</v>
      </c>
      <c r="C26" s="13" t="s">
        <v>186</v>
      </c>
      <c r="D26" s="78">
        <f>IF(D12=0,0,(D12-(D17+D15-D19))/D12*100)</f>
        <v>0</v>
      </c>
      <c r="E26" s="68"/>
    </row>
    <row r="27" spans="1:5" x14ac:dyDescent="0.25">
      <c r="A27" s="57" t="s">
        <v>189</v>
      </c>
      <c r="B27" s="63" t="s">
        <v>190</v>
      </c>
      <c r="C27" s="13" t="s">
        <v>186</v>
      </c>
      <c r="D27" s="78">
        <f>IF(D12=0,0,(D15-D19)/D12*100)</f>
        <v>0</v>
      </c>
      <c r="E27" s="61"/>
    </row>
    <row r="28" spans="1:5" x14ac:dyDescent="0.25">
      <c r="A28" s="79" t="s">
        <v>191</v>
      </c>
      <c r="B28" s="65" t="s">
        <v>192</v>
      </c>
      <c r="C28" s="37" t="s">
        <v>186</v>
      </c>
      <c r="D28" s="80">
        <f>IF(D15=0,0,(D15-D19)/D15*100)</f>
        <v>0</v>
      </c>
      <c r="E28" s="61"/>
    </row>
    <row r="29" spans="1:5" ht="15.75" thickBot="1" x14ac:dyDescent="0.3">
      <c r="A29" s="79" t="s">
        <v>193</v>
      </c>
      <c r="B29" s="81" t="s">
        <v>194</v>
      </c>
      <c r="C29" s="82" t="s">
        <v>186</v>
      </c>
      <c r="D29" s="83">
        <f>IF(D16=0,0,(D16-D20)/D16*100)</f>
        <v>0</v>
      </c>
      <c r="E29" s="84"/>
    </row>
    <row r="30" spans="1:5" x14ac:dyDescent="0.25">
      <c r="A30" s="85" t="s">
        <v>195</v>
      </c>
      <c r="B30" s="86" t="s">
        <v>196</v>
      </c>
      <c r="C30" s="87" t="s">
        <v>162</v>
      </c>
      <c r="D30" s="88">
        <f>SUM(D31,D32,D33)</f>
        <v>0</v>
      </c>
      <c r="E30" s="89"/>
    </row>
    <row r="31" spans="1:5" x14ac:dyDescent="0.25">
      <c r="A31" s="57" t="s">
        <v>197</v>
      </c>
      <c r="B31" s="63" t="s">
        <v>198</v>
      </c>
      <c r="C31" s="13" t="s">
        <v>162</v>
      </c>
      <c r="D31" s="60">
        <v>0</v>
      </c>
      <c r="E31" s="90"/>
    </row>
    <row r="32" spans="1:5" ht="25.5" x14ac:dyDescent="0.25">
      <c r="A32" s="57" t="s">
        <v>199</v>
      </c>
      <c r="B32" s="91" t="s">
        <v>200</v>
      </c>
      <c r="C32" s="13" t="s">
        <v>162</v>
      </c>
      <c r="D32" s="60">
        <v>0</v>
      </c>
      <c r="E32" s="90"/>
    </row>
    <row r="33" spans="1:5" x14ac:dyDescent="0.25">
      <c r="A33" s="57" t="s">
        <v>201</v>
      </c>
      <c r="B33" s="92" t="s">
        <v>202</v>
      </c>
      <c r="C33" s="13" t="s">
        <v>162</v>
      </c>
      <c r="D33" s="60">
        <v>0</v>
      </c>
      <c r="E33" s="90"/>
    </row>
    <row r="34" spans="1:5" x14ac:dyDescent="0.25">
      <c r="A34" s="57" t="s">
        <v>203</v>
      </c>
      <c r="B34" s="13" t="s">
        <v>204</v>
      </c>
      <c r="C34" s="13" t="s">
        <v>162</v>
      </c>
      <c r="D34" s="60">
        <v>0</v>
      </c>
      <c r="E34" s="89"/>
    </row>
    <row r="35" spans="1:5" x14ac:dyDescent="0.25">
      <c r="A35" s="57" t="s">
        <v>205</v>
      </c>
      <c r="B35" s="13" t="s">
        <v>206</v>
      </c>
      <c r="C35" s="13" t="s">
        <v>162</v>
      </c>
      <c r="D35" s="60">
        <v>0</v>
      </c>
      <c r="E35" s="89"/>
    </row>
    <row r="36" spans="1:5" x14ac:dyDescent="0.25">
      <c r="A36" s="57" t="s">
        <v>207</v>
      </c>
      <c r="B36" s="39" t="s">
        <v>208</v>
      </c>
      <c r="C36" s="13" t="s">
        <v>162</v>
      </c>
      <c r="D36" s="67">
        <f>SUM(D37,D41,D44,D45)</f>
        <v>0</v>
      </c>
      <c r="E36" s="93"/>
    </row>
    <row r="37" spans="1:5" x14ac:dyDescent="0.25">
      <c r="A37" s="57" t="s">
        <v>209</v>
      </c>
      <c r="B37" s="13" t="s">
        <v>172</v>
      </c>
      <c r="C37" s="13" t="s">
        <v>162</v>
      </c>
      <c r="D37" s="94">
        <f>SUM(D38,D40)</f>
        <v>0</v>
      </c>
      <c r="E37" s="70"/>
    </row>
    <row r="38" spans="1:5" x14ac:dyDescent="0.25">
      <c r="A38" s="57" t="s">
        <v>210</v>
      </c>
      <c r="B38" s="65" t="s">
        <v>211</v>
      </c>
      <c r="C38" s="37" t="s">
        <v>162</v>
      </c>
      <c r="D38" s="66">
        <v>0</v>
      </c>
      <c r="E38" s="71"/>
    </row>
    <row r="39" spans="1:5" x14ac:dyDescent="0.25">
      <c r="A39" s="57" t="s">
        <v>212</v>
      </c>
      <c r="B39" s="65" t="s">
        <v>213</v>
      </c>
      <c r="C39" s="37" t="s">
        <v>162</v>
      </c>
      <c r="D39" s="66">
        <v>0</v>
      </c>
      <c r="E39" s="71"/>
    </row>
    <row r="40" spans="1:5" x14ac:dyDescent="0.25">
      <c r="A40" s="57" t="s">
        <v>214</v>
      </c>
      <c r="B40" s="65" t="s">
        <v>177</v>
      </c>
      <c r="C40" s="37" t="s">
        <v>162</v>
      </c>
      <c r="D40" s="66">
        <v>0</v>
      </c>
      <c r="E40" s="95"/>
    </row>
    <row r="41" spans="1:5" x14ac:dyDescent="0.25">
      <c r="A41" s="57" t="s">
        <v>215</v>
      </c>
      <c r="B41" s="13" t="s">
        <v>216</v>
      </c>
      <c r="C41" s="13" t="s">
        <v>162</v>
      </c>
      <c r="D41" s="60">
        <v>0</v>
      </c>
      <c r="E41" s="90"/>
    </row>
    <row r="42" spans="1:5" x14ac:dyDescent="0.25">
      <c r="A42" s="79" t="s">
        <v>217</v>
      </c>
      <c r="B42" s="37" t="s">
        <v>218</v>
      </c>
      <c r="C42" s="37" t="s">
        <v>162</v>
      </c>
      <c r="D42" s="60">
        <v>0</v>
      </c>
      <c r="E42" s="90"/>
    </row>
    <row r="43" spans="1:5" x14ac:dyDescent="0.25">
      <c r="A43" s="79" t="s">
        <v>219</v>
      </c>
      <c r="B43" s="37" t="s">
        <v>220</v>
      </c>
      <c r="C43" s="37" t="s">
        <v>162</v>
      </c>
      <c r="D43" s="60">
        <v>0</v>
      </c>
      <c r="E43" s="90"/>
    </row>
    <row r="44" spans="1:5" x14ac:dyDescent="0.25">
      <c r="A44" s="57" t="s">
        <v>221</v>
      </c>
      <c r="B44" s="13" t="s">
        <v>222</v>
      </c>
      <c r="C44" s="13" t="s">
        <v>162</v>
      </c>
      <c r="D44" s="60">
        <v>0</v>
      </c>
      <c r="E44" s="96"/>
    </row>
    <row r="45" spans="1:5" x14ac:dyDescent="0.25">
      <c r="A45" s="57" t="s">
        <v>223</v>
      </c>
      <c r="B45" s="13" t="s">
        <v>224</v>
      </c>
      <c r="C45" s="13" t="s">
        <v>162</v>
      </c>
      <c r="D45" s="60">
        <v>0</v>
      </c>
      <c r="E45" s="96"/>
    </row>
    <row r="46" spans="1:5" x14ac:dyDescent="0.25">
      <c r="A46" s="57" t="s">
        <v>225</v>
      </c>
      <c r="B46" s="13" t="s">
        <v>226</v>
      </c>
      <c r="C46" s="13" t="s">
        <v>186</v>
      </c>
      <c r="D46" s="76">
        <f>IF(D30=0,0,((D31+D32)-D36)/(D31+D32)*100)</f>
        <v>0</v>
      </c>
      <c r="E46" s="93"/>
    </row>
    <row r="47" spans="1:5" x14ac:dyDescent="0.25">
      <c r="A47" s="57" t="s">
        <v>227</v>
      </c>
      <c r="B47" s="63" t="s">
        <v>228</v>
      </c>
      <c r="C47" s="13" t="s">
        <v>186</v>
      </c>
      <c r="D47" s="76">
        <f>IF(D30=0,0,((D31+D32)-(D36+D15-D38))/(D31+D32)*100)</f>
        <v>0</v>
      </c>
      <c r="E47" s="97"/>
    </row>
    <row r="48" spans="1:5" x14ac:dyDescent="0.25">
      <c r="A48" s="57" t="s">
        <v>229</v>
      </c>
      <c r="B48" s="63" t="s">
        <v>230</v>
      </c>
      <c r="C48" s="13" t="s">
        <v>186</v>
      </c>
      <c r="D48" s="76">
        <f>IF(D15=0,0,(D15-D38)/(D31+D32)*100)</f>
        <v>0</v>
      </c>
      <c r="E48" s="90"/>
    </row>
    <row r="49" spans="1:5" ht="26.25" thickBot="1" x14ac:dyDescent="0.3">
      <c r="A49" s="79" t="s">
        <v>231</v>
      </c>
      <c r="B49" s="98" t="s">
        <v>232</v>
      </c>
      <c r="C49" s="37" t="s">
        <v>186</v>
      </c>
      <c r="D49" s="99">
        <f>IF(D16=0,0,(D16-D39)/D16*100)</f>
        <v>0</v>
      </c>
      <c r="E49" s="100"/>
    </row>
    <row r="50" spans="1:5" ht="25.5" x14ac:dyDescent="0.25">
      <c r="A50" s="85" t="s">
        <v>233</v>
      </c>
      <c r="B50" s="101" t="s">
        <v>234</v>
      </c>
      <c r="C50" s="87" t="s">
        <v>162</v>
      </c>
      <c r="D50" s="102">
        <v>18158.5</v>
      </c>
      <c r="E50" s="103"/>
    </row>
    <row r="51" spans="1:5" x14ac:dyDescent="0.25">
      <c r="A51" s="57" t="s">
        <v>235</v>
      </c>
      <c r="B51" s="13" t="s">
        <v>236</v>
      </c>
      <c r="C51" s="13" t="s">
        <v>162</v>
      </c>
      <c r="D51" s="60">
        <v>718.39</v>
      </c>
      <c r="E51" s="103"/>
    </row>
    <row r="52" spans="1:5" x14ac:dyDescent="0.25">
      <c r="A52" s="57" t="s">
        <v>237</v>
      </c>
      <c r="B52" s="13" t="s">
        <v>238</v>
      </c>
      <c r="C52" s="13" t="s">
        <v>162</v>
      </c>
      <c r="D52" s="62">
        <v>18158.5</v>
      </c>
      <c r="E52" s="103"/>
    </row>
    <row r="53" spans="1:5" ht="15.75" thickBot="1" x14ac:dyDescent="0.3">
      <c r="A53" s="104" t="s">
        <v>239</v>
      </c>
      <c r="B53" s="105" t="s">
        <v>240</v>
      </c>
      <c r="C53" s="105" t="s">
        <v>186</v>
      </c>
      <c r="D53" s="106">
        <f>IF(D50=0,0,(D50-D52)/D50*100)</f>
        <v>0</v>
      </c>
    </row>
    <row r="54" spans="1:5" x14ac:dyDescent="0.25">
      <c r="A54" s="107"/>
    </row>
    <row r="55" spans="1:5" x14ac:dyDescent="0.25">
      <c r="A55" s="107"/>
    </row>
    <row r="56" spans="1:5" x14ac:dyDescent="0.25">
      <c r="A56" s="107"/>
    </row>
  </sheetData>
  <sheetProtection algorithmName="SHA-512" hashValue="xWRCX7n4JvaUsPjT8q+ppYbTe14GYZl97YtG8HjIH5EoWWaPC9+pi7+8a7oipZ6P4Fv4nJSGSl+txspwG5rC9w==" saltValue="rnTKSAQN/TrDwRyVtS3rjE76HbmFFy8gCxxX6CTqxJWbVbPzAyntIaDOg2lS1eoKkk0YNBjOuAofte42avk5Mw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rintOptions horizontalCentered="1"/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6"/>
  <sheetViews>
    <sheetView topLeftCell="A142" zoomScaleNormal="100" workbookViewId="0">
      <selection activeCell="F189" sqref="F189"/>
    </sheetView>
  </sheetViews>
  <sheetFormatPr defaultRowHeight="15" x14ac:dyDescent="0.2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 x14ac:dyDescent="0.25">
      <c r="A1" s="960" t="s">
        <v>0</v>
      </c>
      <c r="B1" s="961"/>
      <c r="C1" s="961"/>
      <c r="D1" s="962"/>
    </row>
    <row r="2" spans="1:6" x14ac:dyDescent="0.25">
      <c r="A2" s="960" t="s">
        <v>1</v>
      </c>
      <c r="B2" s="961"/>
      <c r="C2" s="961"/>
      <c r="D2" s="962"/>
    </row>
    <row r="3" spans="1:6" x14ac:dyDescent="0.25">
      <c r="A3" s="963"/>
      <c r="B3" s="964"/>
      <c r="C3" s="964"/>
      <c r="D3" s="965"/>
    </row>
    <row r="4" spans="1:6" x14ac:dyDescent="0.25">
      <c r="A4" s="1"/>
      <c r="B4" s="1"/>
      <c r="C4" s="1"/>
      <c r="D4" s="1"/>
    </row>
    <row r="5" spans="1:6" x14ac:dyDescent="0.25">
      <c r="A5" s="966" t="s">
        <v>241</v>
      </c>
      <c r="B5" s="967"/>
      <c r="C5" s="967"/>
      <c r="D5" s="968"/>
    </row>
    <row r="6" spans="1:6" x14ac:dyDescent="0.25">
      <c r="A6" s="1"/>
      <c r="B6" s="1"/>
      <c r="C6" s="1"/>
      <c r="D6" s="1"/>
    </row>
    <row r="8" spans="1:6" ht="15.75" thickBot="1" x14ac:dyDescent="0.3">
      <c r="A8" s="108"/>
      <c r="B8" s="985" t="s">
        <v>242</v>
      </c>
      <c r="C8" s="985"/>
      <c r="D8" s="985"/>
    </row>
    <row r="9" spans="1:6" ht="15.75" thickBot="1" x14ac:dyDescent="0.3">
      <c r="A9" s="47" t="s">
        <v>4</v>
      </c>
      <c r="B9" s="109" t="s">
        <v>243</v>
      </c>
      <c r="C9" s="110" t="s">
        <v>160</v>
      </c>
      <c r="D9" s="111" t="s">
        <v>1600</v>
      </c>
      <c r="F9" s="7"/>
    </row>
    <row r="10" spans="1:6" ht="15.75" thickBot="1" x14ac:dyDescent="0.3">
      <c r="A10" s="976" t="s">
        <v>244</v>
      </c>
      <c r="B10" s="977"/>
      <c r="C10" s="977"/>
      <c r="D10" s="978"/>
      <c r="E10" s="112"/>
      <c r="F10" s="7"/>
    </row>
    <row r="11" spans="1:6" x14ac:dyDescent="0.25">
      <c r="A11" s="85">
        <v>1</v>
      </c>
      <c r="B11" s="87" t="s">
        <v>245</v>
      </c>
      <c r="C11" s="87" t="s">
        <v>246</v>
      </c>
      <c r="D11" s="102">
        <v>0</v>
      </c>
      <c r="E11" s="61"/>
      <c r="F11" s="7"/>
    </row>
    <row r="12" spans="1:6" x14ac:dyDescent="0.25">
      <c r="A12" s="57">
        <v>2</v>
      </c>
      <c r="B12" s="13" t="s">
        <v>247</v>
      </c>
      <c r="C12" s="13" t="s">
        <v>246</v>
      </c>
      <c r="D12" s="60">
        <v>0</v>
      </c>
      <c r="E12" s="61"/>
      <c r="F12" s="7"/>
    </row>
    <row r="13" spans="1:6" x14ac:dyDescent="0.25">
      <c r="A13" s="57">
        <v>3</v>
      </c>
      <c r="B13" s="13" t="s">
        <v>248</v>
      </c>
      <c r="C13" s="13" t="s">
        <v>246</v>
      </c>
      <c r="D13" s="60">
        <v>0</v>
      </c>
      <c r="E13" s="61"/>
      <c r="F13" s="7"/>
    </row>
    <row r="14" spans="1:6" x14ac:dyDescent="0.25">
      <c r="A14" s="57">
        <v>4</v>
      </c>
      <c r="B14" s="13" t="s">
        <v>249</v>
      </c>
      <c r="C14" s="13" t="s">
        <v>246</v>
      </c>
      <c r="D14" s="60">
        <v>0</v>
      </c>
      <c r="E14" s="89"/>
      <c r="F14" s="89"/>
    </row>
    <row r="15" spans="1:6" x14ac:dyDescent="0.25">
      <c r="A15" s="57" t="s">
        <v>184</v>
      </c>
      <c r="B15" s="13" t="s">
        <v>250</v>
      </c>
      <c r="C15" s="13" t="s">
        <v>246</v>
      </c>
      <c r="D15" s="60">
        <v>24.4</v>
      </c>
      <c r="E15" s="89"/>
      <c r="F15" s="89"/>
    </row>
    <row r="16" spans="1:6" x14ac:dyDescent="0.25">
      <c r="A16" s="57" t="s">
        <v>195</v>
      </c>
      <c r="B16" s="13" t="s">
        <v>251</v>
      </c>
      <c r="C16" s="13" t="s">
        <v>246</v>
      </c>
      <c r="D16" s="60">
        <v>0</v>
      </c>
      <c r="E16" s="89"/>
      <c r="F16" s="89"/>
    </row>
    <row r="17" spans="1:6" x14ac:dyDescent="0.25">
      <c r="A17" s="57" t="s">
        <v>197</v>
      </c>
      <c r="B17" s="13" t="s">
        <v>252</v>
      </c>
      <c r="C17" s="13" t="s">
        <v>253</v>
      </c>
      <c r="D17" s="60">
        <v>0</v>
      </c>
      <c r="E17" s="89"/>
      <c r="F17" s="89"/>
    </row>
    <row r="18" spans="1:6" x14ac:dyDescent="0.25">
      <c r="A18" s="57" t="s">
        <v>199</v>
      </c>
      <c r="B18" s="13" t="s">
        <v>254</v>
      </c>
      <c r="C18" s="13" t="s">
        <v>255</v>
      </c>
      <c r="D18" s="60">
        <v>0</v>
      </c>
      <c r="E18" s="89"/>
      <c r="F18" s="89"/>
    </row>
    <row r="19" spans="1:6" x14ac:dyDescent="0.25">
      <c r="A19" s="57" t="s">
        <v>201</v>
      </c>
      <c r="B19" s="13" t="s">
        <v>256</v>
      </c>
      <c r="C19" s="13" t="s">
        <v>255</v>
      </c>
      <c r="D19" s="60">
        <v>0</v>
      </c>
      <c r="E19" s="89"/>
      <c r="F19" s="89"/>
    </row>
    <row r="20" spans="1:6" x14ac:dyDescent="0.25">
      <c r="A20" s="57" t="s">
        <v>257</v>
      </c>
      <c r="B20" s="13" t="s">
        <v>258</v>
      </c>
      <c r="C20" s="13" t="s">
        <v>255</v>
      </c>
      <c r="D20" s="60">
        <v>0</v>
      </c>
      <c r="E20" s="89"/>
      <c r="F20" s="89"/>
    </row>
    <row r="21" spans="1:6" x14ac:dyDescent="0.25">
      <c r="A21" s="57" t="s">
        <v>203</v>
      </c>
      <c r="B21" s="13" t="s">
        <v>259</v>
      </c>
      <c r="C21" s="13" t="s">
        <v>246</v>
      </c>
      <c r="D21" s="60">
        <v>1206</v>
      </c>
      <c r="E21" s="89"/>
      <c r="F21" s="89"/>
    </row>
    <row r="22" spans="1:6" x14ac:dyDescent="0.25">
      <c r="A22" s="57" t="s">
        <v>260</v>
      </c>
      <c r="B22" s="13" t="s">
        <v>252</v>
      </c>
      <c r="C22" s="13" t="s">
        <v>253</v>
      </c>
      <c r="D22" s="60">
        <v>0</v>
      </c>
      <c r="E22" s="89"/>
      <c r="F22" s="89"/>
    </row>
    <row r="23" spans="1:6" x14ac:dyDescent="0.25">
      <c r="A23" s="57" t="s">
        <v>261</v>
      </c>
      <c r="B23" s="13" t="s">
        <v>254</v>
      </c>
      <c r="C23" s="13" t="s">
        <v>255</v>
      </c>
      <c r="D23" s="60">
        <v>61.3</v>
      </c>
      <c r="E23" s="89"/>
      <c r="F23" s="89"/>
    </row>
    <row r="24" spans="1:6" x14ac:dyDescent="0.25">
      <c r="A24" s="57" t="s">
        <v>262</v>
      </c>
      <c r="B24" s="13" t="s">
        <v>263</v>
      </c>
      <c r="C24" s="13" t="s">
        <v>255</v>
      </c>
      <c r="D24" s="60">
        <v>10.5</v>
      </c>
      <c r="E24" s="89"/>
      <c r="F24" s="89"/>
    </row>
    <row r="25" spans="1:6" x14ac:dyDescent="0.25">
      <c r="A25" s="57" t="s">
        <v>205</v>
      </c>
      <c r="B25" s="13" t="s">
        <v>264</v>
      </c>
      <c r="C25" s="13" t="s">
        <v>246</v>
      </c>
      <c r="D25" s="60">
        <v>0</v>
      </c>
      <c r="E25" s="89"/>
      <c r="F25" s="89"/>
    </row>
    <row r="26" spans="1:6" x14ac:dyDescent="0.25">
      <c r="A26" s="57" t="s">
        <v>265</v>
      </c>
      <c r="B26" s="13" t="s">
        <v>266</v>
      </c>
      <c r="C26" s="13" t="s">
        <v>267</v>
      </c>
      <c r="D26" s="60">
        <v>0</v>
      </c>
      <c r="E26" s="89"/>
      <c r="F26" s="89"/>
    </row>
    <row r="27" spans="1:6" x14ac:dyDescent="0.25">
      <c r="A27" s="57" t="s">
        <v>268</v>
      </c>
      <c r="B27" s="13" t="s">
        <v>269</v>
      </c>
      <c r="C27" s="13" t="s">
        <v>267</v>
      </c>
      <c r="D27" s="60">
        <v>0</v>
      </c>
      <c r="E27" s="89"/>
      <c r="F27" s="89"/>
    </row>
    <row r="28" spans="1:6" x14ac:dyDescent="0.25">
      <c r="A28" s="57" t="s">
        <v>270</v>
      </c>
      <c r="B28" s="13" t="s">
        <v>271</v>
      </c>
      <c r="C28" s="13" t="s">
        <v>267</v>
      </c>
      <c r="D28" s="60">
        <v>0</v>
      </c>
      <c r="E28" s="89"/>
      <c r="F28" s="89"/>
    </row>
    <row r="29" spans="1:6" x14ac:dyDescent="0.25">
      <c r="A29" s="57" t="s">
        <v>272</v>
      </c>
      <c r="B29" s="13" t="s">
        <v>273</v>
      </c>
      <c r="C29" s="13" t="s">
        <v>267</v>
      </c>
      <c r="D29" s="60">
        <v>0</v>
      </c>
      <c r="E29" s="89"/>
      <c r="F29" s="89"/>
    </row>
    <row r="30" spans="1:6" ht="15.75" thickBot="1" x14ac:dyDescent="0.3">
      <c r="A30" s="104" t="s">
        <v>274</v>
      </c>
      <c r="B30" s="105" t="s">
        <v>275</v>
      </c>
      <c r="C30" s="105" t="s">
        <v>267</v>
      </c>
      <c r="D30" s="113">
        <v>0</v>
      </c>
      <c r="E30" s="89"/>
      <c r="F30" s="89"/>
    </row>
    <row r="31" spans="1:6" ht="15.75" thickBot="1" x14ac:dyDescent="0.3">
      <c r="A31" s="976" t="s">
        <v>276</v>
      </c>
      <c r="B31" s="977"/>
      <c r="C31" s="977"/>
      <c r="D31" s="978"/>
      <c r="E31" s="84"/>
      <c r="F31" s="84"/>
    </row>
    <row r="32" spans="1:6" x14ac:dyDescent="0.25">
      <c r="A32" s="85">
        <v>1</v>
      </c>
      <c r="B32" s="114" t="s">
        <v>277</v>
      </c>
      <c r="C32" s="87" t="s">
        <v>162</v>
      </c>
      <c r="D32" s="102">
        <v>0</v>
      </c>
      <c r="E32" s="84"/>
      <c r="F32" s="84"/>
    </row>
    <row r="33" spans="1:6" x14ac:dyDescent="0.25">
      <c r="A33" s="74">
        <v>2</v>
      </c>
      <c r="B33" s="115" t="s">
        <v>278</v>
      </c>
      <c r="C33" s="116" t="s">
        <v>279</v>
      </c>
      <c r="D33" s="117">
        <v>0</v>
      </c>
      <c r="E33" s="118"/>
      <c r="F33" s="118"/>
    </row>
    <row r="34" spans="1:6" x14ac:dyDescent="0.25">
      <c r="A34" s="57">
        <v>3</v>
      </c>
      <c r="B34" s="63" t="s">
        <v>280</v>
      </c>
      <c r="C34" s="116" t="s">
        <v>279</v>
      </c>
      <c r="D34" s="117">
        <v>0</v>
      </c>
      <c r="E34" s="64"/>
      <c r="F34" s="64"/>
    </row>
    <row r="35" spans="1:6" ht="15.75" thickBot="1" x14ac:dyDescent="0.3">
      <c r="A35" s="104">
        <v>4</v>
      </c>
      <c r="B35" s="119" t="s">
        <v>281</v>
      </c>
      <c r="C35" s="120" t="s">
        <v>282</v>
      </c>
      <c r="D35" s="121">
        <v>0</v>
      </c>
      <c r="E35" s="64"/>
      <c r="F35" s="64"/>
    </row>
    <row r="36" spans="1:6" ht="15.75" thickBot="1" x14ac:dyDescent="0.3">
      <c r="A36" s="976" t="s">
        <v>283</v>
      </c>
      <c r="B36" s="977"/>
      <c r="C36" s="977"/>
      <c r="D36" s="978"/>
      <c r="E36" s="122"/>
      <c r="F36" s="122"/>
    </row>
    <row r="37" spans="1:6" x14ac:dyDescent="0.25">
      <c r="A37" s="85">
        <v>1</v>
      </c>
      <c r="B37" s="87" t="s">
        <v>284</v>
      </c>
      <c r="C37" s="87" t="s">
        <v>162</v>
      </c>
      <c r="D37" s="102">
        <v>0</v>
      </c>
      <c r="E37" s="123"/>
      <c r="F37" s="123"/>
    </row>
    <row r="38" spans="1:6" x14ac:dyDescent="0.25">
      <c r="A38" s="57" t="s">
        <v>285</v>
      </c>
      <c r="B38" s="63" t="s">
        <v>286</v>
      </c>
      <c r="C38" s="13" t="s">
        <v>279</v>
      </c>
      <c r="D38" s="117">
        <v>0</v>
      </c>
      <c r="E38" s="124"/>
      <c r="F38" s="124"/>
    </row>
    <row r="39" spans="1:6" x14ac:dyDescent="0.25">
      <c r="A39" s="57" t="s">
        <v>287</v>
      </c>
      <c r="B39" s="63" t="s">
        <v>288</v>
      </c>
      <c r="C39" s="13" t="s">
        <v>279</v>
      </c>
      <c r="D39" s="117">
        <v>0</v>
      </c>
      <c r="E39" s="64"/>
      <c r="F39" s="64"/>
    </row>
    <row r="40" spans="1:6" x14ac:dyDescent="0.25">
      <c r="A40" s="57" t="s">
        <v>289</v>
      </c>
      <c r="B40" s="63" t="s">
        <v>290</v>
      </c>
      <c r="C40" s="13" t="s">
        <v>279</v>
      </c>
      <c r="D40" s="117">
        <v>0</v>
      </c>
      <c r="E40" s="64"/>
      <c r="F40" s="64"/>
    </row>
    <row r="41" spans="1:6" x14ac:dyDescent="0.25">
      <c r="A41" s="57" t="s">
        <v>291</v>
      </c>
      <c r="B41" s="63" t="s">
        <v>292</v>
      </c>
      <c r="C41" s="13" t="s">
        <v>162</v>
      </c>
      <c r="D41" s="125">
        <v>0</v>
      </c>
      <c r="E41" s="61"/>
      <c r="F41" s="61"/>
    </row>
    <row r="42" spans="1:6" x14ac:dyDescent="0.25">
      <c r="A42" s="57" t="s">
        <v>293</v>
      </c>
      <c r="B42" s="63" t="s">
        <v>294</v>
      </c>
      <c r="C42" s="13" t="s">
        <v>162</v>
      </c>
      <c r="D42" s="125">
        <v>0</v>
      </c>
      <c r="E42" s="61"/>
      <c r="F42" s="61"/>
    </row>
    <row r="43" spans="1:6" x14ac:dyDescent="0.25">
      <c r="A43" s="57" t="s">
        <v>295</v>
      </c>
      <c r="B43" s="63" t="s">
        <v>296</v>
      </c>
      <c r="C43" s="13" t="s">
        <v>162</v>
      </c>
      <c r="D43" s="125">
        <v>0</v>
      </c>
      <c r="E43" s="61"/>
      <c r="F43" s="61"/>
    </row>
    <row r="44" spans="1:6" x14ac:dyDescent="0.25">
      <c r="A44" s="57" t="s">
        <v>297</v>
      </c>
      <c r="B44" s="126" t="s">
        <v>298</v>
      </c>
      <c r="C44" s="13" t="s">
        <v>162</v>
      </c>
      <c r="D44" s="60">
        <v>0</v>
      </c>
      <c r="E44" s="61"/>
      <c r="F44" s="61"/>
    </row>
    <row r="45" spans="1:6" x14ac:dyDescent="0.25">
      <c r="A45" s="57">
        <v>2</v>
      </c>
      <c r="B45" s="13" t="s">
        <v>299</v>
      </c>
      <c r="C45" s="13" t="s">
        <v>162</v>
      </c>
      <c r="D45" s="60">
        <v>0</v>
      </c>
      <c r="E45" s="61"/>
      <c r="F45" s="61"/>
    </row>
    <row r="46" spans="1:6" x14ac:dyDescent="0.25">
      <c r="A46" s="57" t="s">
        <v>300</v>
      </c>
      <c r="B46" s="63" t="s">
        <v>301</v>
      </c>
      <c r="C46" s="13" t="s">
        <v>279</v>
      </c>
      <c r="D46" s="117">
        <v>0</v>
      </c>
      <c r="E46" s="61"/>
      <c r="F46" s="61"/>
    </row>
    <row r="47" spans="1:6" x14ac:dyDescent="0.25">
      <c r="A47" s="57" t="s">
        <v>302</v>
      </c>
      <c r="B47" s="63" t="s">
        <v>303</v>
      </c>
      <c r="C47" s="13" t="s">
        <v>279</v>
      </c>
      <c r="D47" s="117">
        <v>0</v>
      </c>
      <c r="E47" s="64"/>
      <c r="F47" s="64"/>
    </row>
    <row r="48" spans="1:6" x14ac:dyDescent="0.25">
      <c r="A48" s="57" t="s">
        <v>304</v>
      </c>
      <c r="B48" s="65" t="s">
        <v>305</v>
      </c>
      <c r="C48" s="37" t="s">
        <v>162</v>
      </c>
      <c r="D48" s="125">
        <v>0</v>
      </c>
      <c r="E48" s="127"/>
      <c r="F48" s="127"/>
    </row>
    <row r="49" spans="1:6" x14ac:dyDescent="0.25">
      <c r="A49" s="57" t="s">
        <v>306</v>
      </c>
      <c r="B49" s="63" t="s">
        <v>307</v>
      </c>
      <c r="C49" s="13" t="s">
        <v>279</v>
      </c>
      <c r="D49" s="117">
        <v>0</v>
      </c>
      <c r="E49" s="64"/>
      <c r="F49" s="64"/>
    </row>
    <row r="50" spans="1:6" x14ac:dyDescent="0.25">
      <c r="A50" s="57" t="s">
        <v>308</v>
      </c>
      <c r="B50" s="65" t="s">
        <v>309</v>
      </c>
      <c r="C50" s="37" t="s">
        <v>162</v>
      </c>
      <c r="D50" s="125">
        <v>0</v>
      </c>
      <c r="E50" s="127"/>
      <c r="F50" s="127"/>
    </row>
    <row r="51" spans="1:6" x14ac:dyDescent="0.25">
      <c r="A51" s="57">
        <v>3</v>
      </c>
      <c r="B51" s="63" t="s">
        <v>310</v>
      </c>
      <c r="C51" s="13" t="s">
        <v>279</v>
      </c>
      <c r="D51" s="117">
        <v>0</v>
      </c>
      <c r="E51" s="64"/>
      <c r="F51" s="64"/>
    </row>
    <row r="52" spans="1:6" x14ac:dyDescent="0.25">
      <c r="A52" s="57">
        <v>4</v>
      </c>
      <c r="B52" s="63" t="s">
        <v>311</v>
      </c>
      <c r="C52" s="13" t="s">
        <v>279</v>
      </c>
      <c r="D52" s="117">
        <v>0</v>
      </c>
      <c r="E52" s="64"/>
      <c r="F52" s="64"/>
    </row>
    <row r="53" spans="1:6" x14ac:dyDescent="0.25">
      <c r="A53" s="57">
        <v>5</v>
      </c>
      <c r="B53" s="63" t="s">
        <v>312</v>
      </c>
      <c r="C53" s="13" t="s">
        <v>279</v>
      </c>
      <c r="D53" s="117">
        <v>0</v>
      </c>
      <c r="E53" s="127"/>
      <c r="F53" s="127"/>
    </row>
    <row r="54" spans="1:6" ht="15.75" thickBot="1" x14ac:dyDescent="0.3">
      <c r="A54" s="104">
        <v>6</v>
      </c>
      <c r="B54" s="119" t="s">
        <v>313</v>
      </c>
      <c r="C54" s="105" t="s">
        <v>282</v>
      </c>
      <c r="D54" s="121">
        <v>0</v>
      </c>
      <c r="E54" s="127"/>
      <c r="F54" s="127"/>
    </row>
    <row r="55" spans="1:6" ht="15.75" thickBot="1" x14ac:dyDescent="0.3">
      <c r="A55" s="976" t="s">
        <v>314</v>
      </c>
      <c r="B55" s="977"/>
      <c r="C55" s="977"/>
      <c r="D55" s="978"/>
      <c r="E55" s="61"/>
      <c r="F55" s="61"/>
    </row>
    <row r="56" spans="1:6" x14ac:dyDescent="0.25">
      <c r="A56" s="85">
        <v>1</v>
      </c>
      <c r="B56" s="114" t="s">
        <v>315</v>
      </c>
      <c r="C56" s="128" t="s">
        <v>162</v>
      </c>
      <c r="D56" s="102">
        <v>0</v>
      </c>
      <c r="E56" s="61"/>
      <c r="F56" s="61"/>
    </row>
    <row r="57" spans="1:6" x14ac:dyDescent="0.25">
      <c r="A57" s="57" t="s">
        <v>285</v>
      </c>
      <c r="B57" s="13" t="s">
        <v>316</v>
      </c>
      <c r="C57" s="13" t="s">
        <v>279</v>
      </c>
      <c r="D57" s="117">
        <v>0</v>
      </c>
      <c r="E57" s="61"/>
      <c r="F57" s="61"/>
    </row>
    <row r="58" spans="1:6" x14ac:dyDescent="0.25">
      <c r="A58" s="57" t="s">
        <v>295</v>
      </c>
      <c r="B58" s="13" t="s">
        <v>317</v>
      </c>
      <c r="C58" s="13" t="s">
        <v>279</v>
      </c>
      <c r="D58" s="117">
        <v>0</v>
      </c>
      <c r="E58" s="61"/>
      <c r="F58" s="61"/>
    </row>
    <row r="59" spans="1:6" x14ac:dyDescent="0.25">
      <c r="A59" s="57" t="s">
        <v>297</v>
      </c>
      <c r="B59" s="13" t="s">
        <v>318</v>
      </c>
      <c r="C59" s="13" t="s">
        <v>279</v>
      </c>
      <c r="D59" s="117">
        <v>0</v>
      </c>
      <c r="E59" s="61"/>
      <c r="F59" s="61"/>
    </row>
    <row r="60" spans="1:6" x14ac:dyDescent="0.25">
      <c r="A60" s="57" t="s">
        <v>16</v>
      </c>
      <c r="B60" s="13" t="s">
        <v>319</v>
      </c>
      <c r="C60" s="13" t="s">
        <v>282</v>
      </c>
      <c r="D60" s="60">
        <v>0</v>
      </c>
      <c r="E60" s="129"/>
      <c r="F60" s="129"/>
    </row>
    <row r="61" spans="1:6" x14ac:dyDescent="0.25">
      <c r="A61" s="57" t="s">
        <v>18</v>
      </c>
      <c r="B61" s="13" t="s">
        <v>320</v>
      </c>
      <c r="C61" s="13" t="s">
        <v>321</v>
      </c>
      <c r="D61" s="130">
        <f>SUM(D62,D63)</f>
        <v>0</v>
      </c>
      <c r="E61" s="122"/>
      <c r="F61" s="122"/>
    </row>
    <row r="62" spans="1:6" x14ac:dyDescent="0.25">
      <c r="A62" s="79" t="s">
        <v>322</v>
      </c>
      <c r="B62" s="65" t="s">
        <v>323</v>
      </c>
      <c r="C62" s="37" t="s">
        <v>321</v>
      </c>
      <c r="D62" s="131">
        <v>0</v>
      </c>
      <c r="E62" s="127"/>
      <c r="F62" s="127"/>
    </row>
    <row r="63" spans="1:6" x14ac:dyDescent="0.25">
      <c r="A63" s="79" t="s">
        <v>324</v>
      </c>
      <c r="B63" s="65" t="s">
        <v>325</v>
      </c>
      <c r="C63" s="37" t="s">
        <v>321</v>
      </c>
      <c r="D63" s="131">
        <v>0</v>
      </c>
      <c r="E63" s="127"/>
      <c r="F63" s="127"/>
    </row>
    <row r="64" spans="1:6" x14ac:dyDescent="0.25">
      <c r="A64" s="57">
        <v>2</v>
      </c>
      <c r="B64" s="13" t="s">
        <v>326</v>
      </c>
      <c r="C64" s="13" t="s">
        <v>279</v>
      </c>
      <c r="D64" s="117">
        <v>0</v>
      </c>
      <c r="E64" s="61"/>
      <c r="F64" s="61"/>
    </row>
    <row r="65" spans="1:6" x14ac:dyDescent="0.25">
      <c r="A65" s="57">
        <v>3</v>
      </c>
      <c r="B65" s="13" t="s">
        <v>327</v>
      </c>
      <c r="C65" s="13" t="s">
        <v>279</v>
      </c>
      <c r="D65" s="117">
        <v>0</v>
      </c>
      <c r="E65" s="61"/>
      <c r="F65" s="61"/>
    </row>
    <row r="66" spans="1:6" x14ac:dyDescent="0.25">
      <c r="A66" s="79" t="s">
        <v>165</v>
      </c>
      <c r="B66" s="65" t="s">
        <v>328</v>
      </c>
      <c r="C66" s="37" t="s">
        <v>279</v>
      </c>
      <c r="D66" s="131">
        <v>0</v>
      </c>
      <c r="E66" s="127"/>
      <c r="F66" s="127"/>
    </row>
    <row r="67" spans="1:6" x14ac:dyDescent="0.25">
      <c r="A67" s="79" t="s">
        <v>329</v>
      </c>
      <c r="B67" s="65" t="s">
        <v>330</v>
      </c>
      <c r="C67" s="37" t="s">
        <v>279</v>
      </c>
      <c r="D67" s="131">
        <v>0</v>
      </c>
      <c r="E67" s="127"/>
      <c r="F67" s="127"/>
    </row>
    <row r="68" spans="1:6" x14ac:dyDescent="0.25">
      <c r="A68" s="79" t="s">
        <v>331</v>
      </c>
      <c r="B68" s="65" t="s">
        <v>332</v>
      </c>
      <c r="C68" s="37" t="s">
        <v>279</v>
      </c>
      <c r="D68" s="131">
        <v>0</v>
      </c>
      <c r="E68" s="127"/>
      <c r="F68" s="127"/>
    </row>
    <row r="69" spans="1:6" x14ac:dyDescent="0.25">
      <c r="A69" s="57">
        <v>4</v>
      </c>
      <c r="B69" s="13" t="s">
        <v>333</v>
      </c>
      <c r="C69" s="13" t="s">
        <v>279</v>
      </c>
      <c r="D69" s="117">
        <v>0</v>
      </c>
      <c r="E69" s="129"/>
      <c r="F69" s="129"/>
    </row>
    <row r="70" spans="1:6" x14ac:dyDescent="0.25">
      <c r="A70" s="57" t="s">
        <v>187</v>
      </c>
      <c r="B70" s="13" t="s">
        <v>334</v>
      </c>
      <c r="C70" s="13" t="s">
        <v>279</v>
      </c>
      <c r="D70" s="117">
        <v>0</v>
      </c>
      <c r="E70" s="61"/>
      <c r="F70" s="61"/>
    </row>
    <row r="71" spans="1:6" x14ac:dyDescent="0.25">
      <c r="A71" s="57" t="s">
        <v>189</v>
      </c>
      <c r="B71" s="13" t="s">
        <v>335</v>
      </c>
      <c r="C71" s="13" t="s">
        <v>279</v>
      </c>
      <c r="D71" s="117">
        <v>0</v>
      </c>
      <c r="E71" s="61"/>
      <c r="F71" s="61"/>
    </row>
    <row r="72" spans="1:6" x14ac:dyDescent="0.25">
      <c r="A72" s="132" t="s">
        <v>336</v>
      </c>
      <c r="B72" s="65" t="s">
        <v>337</v>
      </c>
      <c r="C72" s="37" t="s">
        <v>162</v>
      </c>
      <c r="D72" s="125">
        <v>0</v>
      </c>
      <c r="E72" s="127"/>
      <c r="F72" s="127"/>
    </row>
    <row r="73" spans="1:6" x14ac:dyDescent="0.25">
      <c r="A73" s="132" t="s">
        <v>338</v>
      </c>
      <c r="B73" s="65" t="s">
        <v>339</v>
      </c>
      <c r="C73" s="37" t="s">
        <v>162</v>
      </c>
      <c r="D73" s="125">
        <v>0</v>
      </c>
      <c r="E73" s="72"/>
      <c r="F73" s="72"/>
    </row>
    <row r="74" spans="1:6" x14ac:dyDescent="0.25">
      <c r="A74" s="57">
        <v>6</v>
      </c>
      <c r="B74" s="13" t="s">
        <v>340</v>
      </c>
      <c r="C74" s="13" t="s">
        <v>279</v>
      </c>
      <c r="D74" s="133">
        <f>SUM(D75,D76,D77)</f>
        <v>0</v>
      </c>
      <c r="E74" s="122"/>
      <c r="F74" s="122"/>
    </row>
    <row r="75" spans="1:6" x14ac:dyDescent="0.25">
      <c r="A75" s="79" t="s">
        <v>197</v>
      </c>
      <c r="B75" s="65" t="s">
        <v>341</v>
      </c>
      <c r="C75" s="37" t="s">
        <v>279</v>
      </c>
      <c r="D75" s="131">
        <v>0</v>
      </c>
      <c r="E75" s="127"/>
      <c r="F75" s="127"/>
    </row>
    <row r="76" spans="1:6" x14ac:dyDescent="0.25">
      <c r="A76" s="79" t="s">
        <v>199</v>
      </c>
      <c r="B76" s="65" t="s">
        <v>342</v>
      </c>
      <c r="C76" s="37" t="s">
        <v>279</v>
      </c>
      <c r="D76" s="131">
        <v>0</v>
      </c>
      <c r="E76" s="127"/>
      <c r="F76" s="127"/>
    </row>
    <row r="77" spans="1:6" x14ac:dyDescent="0.25">
      <c r="A77" s="79" t="s">
        <v>201</v>
      </c>
      <c r="B77" s="65" t="s">
        <v>343</v>
      </c>
      <c r="C77" s="37" t="s">
        <v>279</v>
      </c>
      <c r="D77" s="131">
        <v>0</v>
      </c>
      <c r="E77" s="127"/>
      <c r="F77" s="127"/>
    </row>
    <row r="78" spans="1:6" x14ac:dyDescent="0.25">
      <c r="A78" s="57">
        <v>7</v>
      </c>
      <c r="B78" s="13" t="s">
        <v>344</v>
      </c>
      <c r="C78" s="13" t="s">
        <v>279</v>
      </c>
      <c r="D78" s="117">
        <v>0</v>
      </c>
      <c r="E78" s="61"/>
      <c r="F78" s="61"/>
    </row>
    <row r="79" spans="1:6" ht="15.75" thickBot="1" x14ac:dyDescent="0.3">
      <c r="A79" s="104">
        <v>8</v>
      </c>
      <c r="B79" s="105" t="s">
        <v>345</v>
      </c>
      <c r="C79" s="105" t="s">
        <v>279</v>
      </c>
      <c r="D79" s="121">
        <v>0</v>
      </c>
      <c r="E79" s="122"/>
      <c r="F79" s="122"/>
    </row>
    <row r="80" spans="1:6" ht="15.75" thickBot="1" x14ac:dyDescent="0.3">
      <c r="A80" s="976" t="s">
        <v>346</v>
      </c>
      <c r="B80" s="977"/>
      <c r="C80" s="977"/>
      <c r="D80" s="978"/>
      <c r="E80" s="134"/>
      <c r="F80" s="134"/>
    </row>
    <row r="81" spans="1:6" x14ac:dyDescent="0.25">
      <c r="A81" s="85" t="s">
        <v>347</v>
      </c>
      <c r="B81" s="87" t="s">
        <v>348</v>
      </c>
      <c r="C81" s="128" t="s">
        <v>162</v>
      </c>
      <c r="D81" s="102">
        <v>0</v>
      </c>
      <c r="E81" s="134"/>
      <c r="F81" s="134"/>
    </row>
    <row r="82" spans="1:6" x14ac:dyDescent="0.25">
      <c r="A82" s="132" t="s">
        <v>285</v>
      </c>
      <c r="B82" s="65" t="s">
        <v>349</v>
      </c>
      <c r="C82" s="135" t="s">
        <v>162</v>
      </c>
      <c r="D82" s="66">
        <v>0</v>
      </c>
      <c r="E82" s="134"/>
      <c r="F82" s="134"/>
    </row>
    <row r="83" spans="1:6" x14ac:dyDescent="0.25">
      <c r="A83" s="132" t="s">
        <v>295</v>
      </c>
      <c r="B83" s="65" t="s">
        <v>202</v>
      </c>
      <c r="C83" s="135" t="s">
        <v>162</v>
      </c>
      <c r="D83" s="66">
        <v>0</v>
      </c>
      <c r="E83" s="134"/>
      <c r="F83" s="134"/>
    </row>
    <row r="84" spans="1:6" x14ac:dyDescent="0.25">
      <c r="A84" s="132" t="s">
        <v>297</v>
      </c>
      <c r="B84" s="65" t="s">
        <v>350</v>
      </c>
      <c r="C84" s="135" t="s">
        <v>162</v>
      </c>
      <c r="D84" s="66">
        <v>0</v>
      </c>
      <c r="E84" s="134"/>
      <c r="F84" s="134"/>
    </row>
    <row r="85" spans="1:6" x14ac:dyDescent="0.25">
      <c r="A85" s="57" t="s">
        <v>351</v>
      </c>
      <c r="B85" s="13" t="s">
        <v>352</v>
      </c>
      <c r="C85" s="13" t="s">
        <v>279</v>
      </c>
      <c r="D85" s="117">
        <v>0</v>
      </c>
      <c r="E85" s="89"/>
      <c r="F85" s="89"/>
    </row>
    <row r="86" spans="1:6" x14ac:dyDescent="0.25">
      <c r="A86" s="57" t="s">
        <v>300</v>
      </c>
      <c r="B86" s="13" t="s">
        <v>353</v>
      </c>
      <c r="C86" s="136" t="s">
        <v>162</v>
      </c>
      <c r="D86" s="60">
        <v>0</v>
      </c>
      <c r="E86" s="89"/>
      <c r="F86" s="89"/>
    </row>
    <row r="87" spans="1:6" x14ac:dyDescent="0.25">
      <c r="A87" s="57" t="s">
        <v>354</v>
      </c>
      <c r="B87" s="13" t="s">
        <v>355</v>
      </c>
      <c r="C87" s="13" t="s">
        <v>279</v>
      </c>
      <c r="D87" s="117">
        <v>0</v>
      </c>
      <c r="E87" s="89"/>
      <c r="F87" s="89"/>
    </row>
    <row r="88" spans="1:6" x14ac:dyDescent="0.25">
      <c r="A88" s="57" t="s">
        <v>356</v>
      </c>
      <c r="B88" s="13" t="s">
        <v>357</v>
      </c>
      <c r="C88" s="13" t="s">
        <v>279</v>
      </c>
      <c r="D88" s="117">
        <v>0</v>
      </c>
      <c r="E88" s="89"/>
      <c r="F88" s="89"/>
    </row>
    <row r="89" spans="1:6" x14ac:dyDescent="0.25">
      <c r="A89" s="57" t="s">
        <v>358</v>
      </c>
      <c r="B89" s="13" t="s">
        <v>359</v>
      </c>
      <c r="C89" s="13" t="s">
        <v>282</v>
      </c>
      <c r="D89" s="117">
        <v>0</v>
      </c>
      <c r="E89" s="137"/>
      <c r="F89" s="137"/>
    </row>
    <row r="90" spans="1:6" x14ac:dyDescent="0.25">
      <c r="A90" s="57" t="s">
        <v>360</v>
      </c>
      <c r="B90" s="13" t="s">
        <v>361</v>
      </c>
      <c r="C90" s="13" t="s">
        <v>321</v>
      </c>
      <c r="D90" s="117">
        <v>0</v>
      </c>
      <c r="E90" s="89"/>
      <c r="F90" s="89"/>
    </row>
    <row r="91" spans="1:6" x14ac:dyDescent="0.25">
      <c r="A91" s="79" t="s">
        <v>362</v>
      </c>
      <c r="B91" s="65" t="s">
        <v>363</v>
      </c>
      <c r="C91" s="37" t="s">
        <v>321</v>
      </c>
      <c r="D91" s="138">
        <v>0</v>
      </c>
      <c r="E91" s="139"/>
      <c r="F91" s="139"/>
    </row>
    <row r="92" spans="1:6" x14ac:dyDescent="0.25">
      <c r="A92" s="57" t="s">
        <v>364</v>
      </c>
      <c r="B92" s="13" t="s">
        <v>365</v>
      </c>
      <c r="C92" s="13" t="s">
        <v>279</v>
      </c>
      <c r="D92" s="117">
        <v>0</v>
      </c>
      <c r="E92" s="89"/>
      <c r="F92" s="89"/>
    </row>
    <row r="93" spans="1:6" x14ac:dyDescent="0.25">
      <c r="A93" s="57" t="s">
        <v>169</v>
      </c>
      <c r="B93" s="13" t="s">
        <v>366</v>
      </c>
      <c r="C93" s="13" t="s">
        <v>279</v>
      </c>
      <c r="D93" s="117">
        <v>0</v>
      </c>
      <c r="E93" s="89"/>
      <c r="F93" s="89"/>
    </row>
    <row r="94" spans="1:6" x14ac:dyDescent="0.25">
      <c r="A94" s="79" t="s">
        <v>171</v>
      </c>
      <c r="B94" s="65" t="s">
        <v>328</v>
      </c>
      <c r="C94" s="37" t="s">
        <v>279</v>
      </c>
      <c r="D94" s="138">
        <v>0</v>
      </c>
      <c r="E94" s="89"/>
      <c r="F94" s="89"/>
    </row>
    <row r="95" spans="1:6" x14ac:dyDescent="0.25">
      <c r="A95" s="79" t="s">
        <v>178</v>
      </c>
      <c r="B95" s="65" t="s">
        <v>367</v>
      </c>
      <c r="C95" s="37" t="s">
        <v>279</v>
      </c>
      <c r="D95" s="138">
        <v>0</v>
      </c>
      <c r="E95" s="139"/>
      <c r="F95" s="139"/>
    </row>
    <row r="96" spans="1:6" x14ac:dyDescent="0.25">
      <c r="A96" s="79" t="s">
        <v>182</v>
      </c>
      <c r="B96" s="65" t="s">
        <v>368</v>
      </c>
      <c r="C96" s="37" t="s">
        <v>279</v>
      </c>
      <c r="D96" s="138">
        <v>0</v>
      </c>
      <c r="E96" s="139"/>
      <c r="F96" s="139"/>
    </row>
    <row r="97" spans="1:6" ht="15.75" thickBot="1" x14ac:dyDescent="0.3">
      <c r="A97" s="104" t="s">
        <v>184</v>
      </c>
      <c r="B97" s="105" t="s">
        <v>369</v>
      </c>
      <c r="C97" s="105" t="s">
        <v>279</v>
      </c>
      <c r="D97" s="121">
        <v>0</v>
      </c>
      <c r="E97" s="89"/>
      <c r="F97" s="89"/>
    </row>
    <row r="98" spans="1:6" ht="15.75" thickBot="1" x14ac:dyDescent="0.3">
      <c r="A98" s="976" t="s">
        <v>370</v>
      </c>
      <c r="B98" s="977"/>
      <c r="C98" s="977"/>
      <c r="D98" s="978"/>
      <c r="E98" s="89"/>
      <c r="F98" s="89"/>
    </row>
    <row r="99" spans="1:6" x14ac:dyDescent="0.25">
      <c r="A99" s="57" t="s">
        <v>347</v>
      </c>
      <c r="B99" s="13" t="s">
        <v>371</v>
      </c>
      <c r="C99" s="13" t="s">
        <v>279</v>
      </c>
      <c r="D99" s="117">
        <v>113</v>
      </c>
      <c r="E99" s="89"/>
      <c r="F99" s="89"/>
    </row>
    <row r="100" spans="1:6" x14ac:dyDescent="0.25">
      <c r="A100" s="57" t="s">
        <v>285</v>
      </c>
      <c r="B100" s="13" t="s">
        <v>372</v>
      </c>
      <c r="C100" s="13" t="s">
        <v>279</v>
      </c>
      <c r="D100" s="117">
        <v>4</v>
      </c>
      <c r="E100" s="89"/>
      <c r="F100" s="89"/>
    </row>
    <row r="101" spans="1:6" x14ac:dyDescent="0.25">
      <c r="A101" s="57" t="s">
        <v>295</v>
      </c>
      <c r="B101" s="13" t="s">
        <v>373</v>
      </c>
      <c r="C101" s="13" t="s">
        <v>279</v>
      </c>
      <c r="D101" s="117">
        <v>12</v>
      </c>
      <c r="E101" s="89"/>
      <c r="F101" s="89"/>
    </row>
    <row r="102" spans="1:6" x14ac:dyDescent="0.25">
      <c r="A102" s="57" t="s">
        <v>297</v>
      </c>
      <c r="B102" s="13" t="s">
        <v>374</v>
      </c>
      <c r="C102" s="13" t="s">
        <v>282</v>
      </c>
      <c r="D102" s="117">
        <v>8</v>
      </c>
      <c r="E102" s="89"/>
      <c r="F102" s="89"/>
    </row>
    <row r="103" spans="1:6" x14ac:dyDescent="0.25">
      <c r="A103" s="57" t="s">
        <v>16</v>
      </c>
      <c r="B103" s="13" t="s">
        <v>375</v>
      </c>
      <c r="C103" s="13" t="s">
        <v>321</v>
      </c>
      <c r="D103" s="117">
        <v>1200</v>
      </c>
      <c r="E103" s="89"/>
      <c r="F103" s="89"/>
    </row>
    <row r="104" spans="1:6" x14ac:dyDescent="0.25">
      <c r="A104" s="79" t="s">
        <v>376</v>
      </c>
      <c r="B104" s="65" t="s">
        <v>363</v>
      </c>
      <c r="C104" s="37" t="s">
        <v>321</v>
      </c>
      <c r="D104" s="138">
        <v>0</v>
      </c>
      <c r="E104" s="89"/>
      <c r="F104" s="89"/>
    </row>
    <row r="105" spans="1:6" x14ac:dyDescent="0.25">
      <c r="A105" s="57" t="s">
        <v>351</v>
      </c>
      <c r="B105" s="13" t="s">
        <v>377</v>
      </c>
      <c r="C105" s="13" t="s">
        <v>279</v>
      </c>
      <c r="D105" s="117">
        <v>113</v>
      </c>
      <c r="E105" s="89"/>
      <c r="F105" s="89"/>
    </row>
    <row r="106" spans="1:6" x14ac:dyDescent="0.25">
      <c r="A106" s="57" t="s">
        <v>364</v>
      </c>
      <c r="B106" s="13" t="s">
        <v>378</v>
      </c>
      <c r="C106" s="13" t="s">
        <v>279</v>
      </c>
      <c r="D106" s="117">
        <v>646</v>
      </c>
      <c r="E106" s="89"/>
      <c r="F106" s="89"/>
    </row>
    <row r="107" spans="1:6" ht="15.75" thickBot="1" x14ac:dyDescent="0.3">
      <c r="A107" s="104" t="s">
        <v>169</v>
      </c>
      <c r="B107" s="105" t="s">
        <v>379</v>
      </c>
      <c r="C107" s="105" t="s">
        <v>279</v>
      </c>
      <c r="D107" s="121">
        <v>527</v>
      </c>
      <c r="E107" s="89"/>
      <c r="F107" s="89"/>
    </row>
    <row r="108" spans="1:6" ht="15.75" thickBot="1" x14ac:dyDescent="0.3">
      <c r="A108" s="976" t="s">
        <v>380</v>
      </c>
      <c r="B108" s="977"/>
      <c r="C108" s="977"/>
      <c r="D108" s="978"/>
      <c r="E108" s="134"/>
      <c r="F108" s="134"/>
    </row>
    <row r="109" spans="1:6" x14ac:dyDescent="0.25">
      <c r="A109" s="140">
        <v>1</v>
      </c>
      <c r="B109" s="114" t="s">
        <v>381</v>
      </c>
      <c r="C109" s="128" t="s">
        <v>162</v>
      </c>
      <c r="D109" s="102">
        <v>0</v>
      </c>
      <c r="E109" s="134"/>
      <c r="F109" s="134"/>
    </row>
    <row r="110" spans="1:6" x14ac:dyDescent="0.25">
      <c r="A110" s="141">
        <v>2</v>
      </c>
      <c r="B110" s="142" t="s">
        <v>382</v>
      </c>
      <c r="C110" s="10" t="s">
        <v>279</v>
      </c>
      <c r="D110" s="143">
        <v>0</v>
      </c>
      <c r="E110" s="90"/>
      <c r="F110" s="90"/>
    </row>
    <row r="111" spans="1:6" x14ac:dyDescent="0.25">
      <c r="A111" s="57" t="s">
        <v>300</v>
      </c>
      <c r="B111" s="63" t="s">
        <v>383</v>
      </c>
      <c r="C111" s="13" t="s">
        <v>384</v>
      </c>
      <c r="D111" s="144">
        <v>0</v>
      </c>
      <c r="E111" s="90"/>
      <c r="F111" s="90"/>
    </row>
    <row r="112" spans="1:6" x14ac:dyDescent="0.25">
      <c r="A112" s="57" t="s">
        <v>302</v>
      </c>
      <c r="B112" s="13" t="s">
        <v>385</v>
      </c>
      <c r="C112" s="145" t="s">
        <v>162</v>
      </c>
      <c r="D112" s="60">
        <v>0</v>
      </c>
      <c r="E112" s="89"/>
      <c r="F112" s="89"/>
    </row>
    <row r="113" spans="1:6" x14ac:dyDescent="0.25">
      <c r="A113" s="57" t="s">
        <v>354</v>
      </c>
      <c r="B113" s="63" t="s">
        <v>386</v>
      </c>
      <c r="C113" s="13" t="s">
        <v>279</v>
      </c>
      <c r="D113" s="144">
        <v>0</v>
      </c>
      <c r="E113" s="90"/>
      <c r="F113" s="90"/>
    </row>
    <row r="114" spans="1:6" x14ac:dyDescent="0.25">
      <c r="A114" s="57" t="s">
        <v>387</v>
      </c>
      <c r="B114" s="13" t="s">
        <v>388</v>
      </c>
      <c r="C114" s="145" t="s">
        <v>162</v>
      </c>
      <c r="D114" s="60">
        <v>0</v>
      </c>
      <c r="E114" s="89"/>
      <c r="F114" s="89"/>
    </row>
    <row r="115" spans="1:6" x14ac:dyDescent="0.25">
      <c r="A115" s="57" t="s">
        <v>356</v>
      </c>
      <c r="B115" s="63" t="s">
        <v>389</v>
      </c>
      <c r="C115" s="13" t="s">
        <v>279</v>
      </c>
      <c r="D115" s="144">
        <v>0</v>
      </c>
      <c r="E115" s="90"/>
      <c r="F115" s="90"/>
    </row>
    <row r="116" spans="1:6" x14ac:dyDescent="0.25">
      <c r="A116" s="57" t="s">
        <v>390</v>
      </c>
      <c r="B116" s="13" t="s">
        <v>391</v>
      </c>
      <c r="C116" s="145" t="s">
        <v>162</v>
      </c>
      <c r="D116" s="60">
        <v>0</v>
      </c>
      <c r="E116" s="89"/>
      <c r="F116" s="89"/>
    </row>
    <row r="117" spans="1:6" x14ac:dyDescent="0.25">
      <c r="A117" s="57" t="s">
        <v>358</v>
      </c>
      <c r="B117" s="63" t="s">
        <v>392</v>
      </c>
      <c r="C117" s="13" t="s">
        <v>279</v>
      </c>
      <c r="D117" s="144">
        <v>0</v>
      </c>
      <c r="E117" s="90"/>
      <c r="F117" s="90"/>
    </row>
    <row r="118" spans="1:6" x14ac:dyDescent="0.25">
      <c r="A118" s="57" t="s">
        <v>393</v>
      </c>
      <c r="B118" s="13" t="s">
        <v>394</v>
      </c>
      <c r="C118" s="145" t="s">
        <v>162</v>
      </c>
      <c r="D118" s="60">
        <v>0</v>
      </c>
      <c r="E118" s="146"/>
      <c r="F118" s="90"/>
    </row>
    <row r="119" spans="1:6" x14ac:dyDescent="0.25">
      <c r="A119" s="57" t="s">
        <v>165</v>
      </c>
      <c r="B119" s="13" t="s">
        <v>395</v>
      </c>
      <c r="C119" s="13" t="s">
        <v>279</v>
      </c>
      <c r="D119" s="117">
        <v>0</v>
      </c>
      <c r="E119" s="124"/>
      <c r="F119" s="124"/>
    </row>
    <row r="120" spans="1:6" x14ac:dyDescent="0.25">
      <c r="A120" s="57" t="s">
        <v>329</v>
      </c>
      <c r="B120" s="13" t="s">
        <v>396</v>
      </c>
      <c r="C120" s="13" t="s">
        <v>279</v>
      </c>
      <c r="D120" s="117">
        <v>0</v>
      </c>
      <c r="E120" s="139"/>
      <c r="F120" s="139"/>
    </row>
    <row r="121" spans="1:6" x14ac:dyDescent="0.25">
      <c r="A121" s="147" t="s">
        <v>331</v>
      </c>
      <c r="B121" s="148" t="s">
        <v>397</v>
      </c>
      <c r="C121" s="148" t="s">
        <v>279</v>
      </c>
      <c r="D121" s="149">
        <v>0</v>
      </c>
      <c r="E121" s="139"/>
      <c r="F121" s="139"/>
    </row>
    <row r="122" spans="1:6" x14ac:dyDescent="0.25">
      <c r="A122" s="150">
        <v>4</v>
      </c>
      <c r="B122" s="975" t="s">
        <v>398</v>
      </c>
      <c r="C122" s="975"/>
      <c r="D122" s="151"/>
      <c r="E122" s="152"/>
      <c r="F122" s="152"/>
    </row>
    <row r="123" spans="1:6" x14ac:dyDescent="0.25">
      <c r="A123" s="141" t="s">
        <v>171</v>
      </c>
      <c r="B123" s="142" t="s">
        <v>399</v>
      </c>
      <c r="C123" s="10" t="s">
        <v>255</v>
      </c>
      <c r="D123" s="153">
        <v>0</v>
      </c>
      <c r="E123" s="90"/>
      <c r="F123" s="90"/>
    </row>
    <row r="124" spans="1:6" x14ac:dyDescent="0.25">
      <c r="A124" s="57" t="s">
        <v>178</v>
      </c>
      <c r="B124" s="63" t="s">
        <v>400</v>
      </c>
      <c r="C124" s="13" t="s">
        <v>255</v>
      </c>
      <c r="D124" s="154">
        <v>0</v>
      </c>
      <c r="E124" s="90"/>
      <c r="F124" s="90"/>
    </row>
    <row r="125" spans="1:6" x14ac:dyDescent="0.25">
      <c r="A125" s="57" t="s">
        <v>182</v>
      </c>
      <c r="B125" s="63" t="s">
        <v>401</v>
      </c>
      <c r="C125" s="13" t="s">
        <v>255</v>
      </c>
      <c r="D125" s="154">
        <v>0</v>
      </c>
      <c r="E125" s="90"/>
      <c r="F125" s="90"/>
    </row>
    <row r="126" spans="1:6" x14ac:dyDescent="0.25">
      <c r="A126" s="57" t="s">
        <v>402</v>
      </c>
      <c r="B126" s="63" t="s">
        <v>403</v>
      </c>
      <c r="C126" s="13" t="s">
        <v>255</v>
      </c>
      <c r="D126" s="154">
        <v>0</v>
      </c>
      <c r="E126" s="90"/>
      <c r="F126" s="90"/>
    </row>
    <row r="127" spans="1:6" x14ac:dyDescent="0.25">
      <c r="A127" s="147" t="s">
        <v>404</v>
      </c>
      <c r="B127" s="155" t="s">
        <v>405</v>
      </c>
      <c r="C127" s="148" t="s">
        <v>255</v>
      </c>
      <c r="D127" s="156">
        <v>0</v>
      </c>
      <c r="E127" s="90"/>
      <c r="F127" s="90"/>
    </row>
    <row r="128" spans="1:6" x14ac:dyDescent="0.25">
      <c r="A128" s="150">
        <v>5</v>
      </c>
      <c r="B128" s="975" t="s">
        <v>406</v>
      </c>
      <c r="C128" s="975"/>
      <c r="D128" s="157"/>
      <c r="E128" s="152"/>
      <c r="F128" s="152"/>
    </row>
    <row r="129" spans="1:6" x14ac:dyDescent="0.25">
      <c r="A129" s="141" t="s">
        <v>187</v>
      </c>
      <c r="B129" s="142" t="s">
        <v>407</v>
      </c>
      <c r="C129" s="10" t="s">
        <v>255</v>
      </c>
      <c r="D129" s="153">
        <v>0</v>
      </c>
      <c r="E129" s="90"/>
      <c r="F129" s="90"/>
    </row>
    <row r="130" spans="1:6" x14ac:dyDescent="0.25">
      <c r="A130" s="57" t="s">
        <v>189</v>
      </c>
      <c r="B130" s="63" t="s">
        <v>400</v>
      </c>
      <c r="C130" s="13" t="s">
        <v>255</v>
      </c>
      <c r="D130" s="154">
        <v>0</v>
      </c>
      <c r="E130" s="90"/>
      <c r="F130" s="90"/>
    </row>
    <row r="131" spans="1:6" x14ac:dyDescent="0.25">
      <c r="A131" s="57" t="s">
        <v>336</v>
      </c>
      <c r="B131" s="63" t="s">
        <v>401</v>
      </c>
      <c r="C131" s="13" t="s">
        <v>255</v>
      </c>
      <c r="D131" s="154">
        <v>0</v>
      </c>
      <c r="E131" s="90"/>
      <c r="F131" s="90"/>
    </row>
    <row r="132" spans="1:6" x14ac:dyDescent="0.25">
      <c r="A132" s="57" t="s">
        <v>338</v>
      </c>
      <c r="B132" s="63" t="s">
        <v>403</v>
      </c>
      <c r="C132" s="13" t="s">
        <v>255</v>
      </c>
      <c r="D132" s="154">
        <v>0</v>
      </c>
      <c r="E132" s="90"/>
      <c r="F132" s="90"/>
    </row>
    <row r="133" spans="1:6" x14ac:dyDescent="0.25">
      <c r="A133" s="57" t="s">
        <v>408</v>
      </c>
      <c r="B133" s="63" t="s">
        <v>405</v>
      </c>
      <c r="C133" s="13" t="s">
        <v>255</v>
      </c>
      <c r="D133" s="154">
        <v>0</v>
      </c>
      <c r="E133" s="90"/>
      <c r="F133" s="90"/>
    </row>
    <row r="134" spans="1:6" x14ac:dyDescent="0.25">
      <c r="A134" s="158">
        <v>6</v>
      </c>
      <c r="B134" s="975" t="s">
        <v>409</v>
      </c>
      <c r="C134" s="975"/>
      <c r="D134" s="159"/>
      <c r="E134" s="89"/>
      <c r="F134" s="89"/>
    </row>
    <row r="135" spans="1:6" x14ac:dyDescent="0.25">
      <c r="A135" s="57" t="s">
        <v>197</v>
      </c>
      <c r="B135" s="63" t="s">
        <v>410</v>
      </c>
      <c r="C135" s="13" t="s">
        <v>411</v>
      </c>
      <c r="D135" s="154">
        <v>0</v>
      </c>
      <c r="E135" s="89"/>
      <c r="F135" s="89"/>
    </row>
    <row r="136" spans="1:6" x14ac:dyDescent="0.25">
      <c r="A136" s="57" t="s">
        <v>199</v>
      </c>
      <c r="B136" s="63" t="s">
        <v>412</v>
      </c>
      <c r="C136" s="13" t="s">
        <v>411</v>
      </c>
      <c r="D136" s="154">
        <v>0</v>
      </c>
      <c r="E136" s="89"/>
      <c r="F136" s="89"/>
    </row>
    <row r="137" spans="1:6" x14ac:dyDescent="0.25">
      <c r="A137" s="57" t="s">
        <v>201</v>
      </c>
      <c r="B137" s="63" t="s">
        <v>413</v>
      </c>
      <c r="C137" s="13" t="s">
        <v>411</v>
      </c>
      <c r="D137" s="154">
        <v>0</v>
      </c>
      <c r="E137" s="89"/>
      <c r="F137" s="89"/>
    </row>
    <row r="138" spans="1:6" ht="15.75" thickBot="1" x14ac:dyDescent="0.3">
      <c r="A138" s="104" t="s">
        <v>257</v>
      </c>
      <c r="B138" s="119" t="s">
        <v>414</v>
      </c>
      <c r="C138" s="105" t="s">
        <v>411</v>
      </c>
      <c r="D138" s="160">
        <v>0</v>
      </c>
      <c r="E138" s="89"/>
      <c r="F138" s="89"/>
    </row>
    <row r="139" spans="1:6" ht="15.75" thickBot="1" x14ac:dyDescent="0.3">
      <c r="A139" s="976" t="s">
        <v>415</v>
      </c>
      <c r="B139" s="977"/>
      <c r="C139" s="977"/>
      <c r="D139" s="978"/>
      <c r="E139" s="89"/>
      <c r="F139" s="89"/>
    </row>
    <row r="140" spans="1:6" x14ac:dyDescent="0.25">
      <c r="A140" s="140" t="s">
        <v>347</v>
      </c>
      <c r="B140" s="114" t="s">
        <v>416</v>
      </c>
      <c r="C140" s="128" t="s">
        <v>162</v>
      </c>
      <c r="D140" s="102">
        <v>718.4</v>
      </c>
      <c r="E140" s="89"/>
      <c r="F140" s="89"/>
    </row>
    <row r="141" spans="1:6" x14ac:dyDescent="0.25">
      <c r="A141" s="57" t="s">
        <v>351</v>
      </c>
      <c r="B141" s="13" t="s">
        <v>417</v>
      </c>
      <c r="C141" s="13" t="s">
        <v>279</v>
      </c>
      <c r="D141" s="144">
        <v>4</v>
      </c>
      <c r="E141" s="89"/>
      <c r="F141" s="89"/>
    </row>
    <row r="142" spans="1:6" x14ac:dyDescent="0.25">
      <c r="A142" s="147" t="s">
        <v>300</v>
      </c>
      <c r="B142" s="148" t="s">
        <v>418</v>
      </c>
      <c r="C142" s="148" t="s">
        <v>279</v>
      </c>
      <c r="D142" s="149">
        <v>0</v>
      </c>
      <c r="E142" s="89"/>
      <c r="F142" s="89"/>
    </row>
    <row r="143" spans="1:6" x14ac:dyDescent="0.25">
      <c r="A143" s="150" t="s">
        <v>364</v>
      </c>
      <c r="B143" s="975" t="s">
        <v>419</v>
      </c>
      <c r="C143" s="975"/>
      <c r="D143" s="151"/>
      <c r="E143" s="89"/>
      <c r="F143" s="89"/>
    </row>
    <row r="144" spans="1:6" x14ac:dyDescent="0.25">
      <c r="A144" s="141" t="s">
        <v>165</v>
      </c>
      <c r="B144" s="142" t="s">
        <v>399</v>
      </c>
      <c r="C144" s="10" t="s">
        <v>255</v>
      </c>
      <c r="D144" s="153">
        <v>21.2</v>
      </c>
      <c r="E144" s="89"/>
      <c r="F144" s="89"/>
    </row>
    <row r="145" spans="1:6" x14ac:dyDescent="0.25">
      <c r="A145" s="57" t="s">
        <v>329</v>
      </c>
      <c r="B145" s="63" t="s">
        <v>400</v>
      </c>
      <c r="C145" s="13" t="s">
        <v>255</v>
      </c>
      <c r="D145" s="154">
        <v>44.7</v>
      </c>
      <c r="E145" s="89"/>
      <c r="F145" s="89"/>
    </row>
    <row r="146" spans="1:6" x14ac:dyDescent="0.25">
      <c r="A146" s="57" t="s">
        <v>331</v>
      </c>
      <c r="B146" s="63" t="s">
        <v>420</v>
      </c>
      <c r="C146" s="13" t="s">
        <v>255</v>
      </c>
      <c r="D146" s="154">
        <v>3.4</v>
      </c>
      <c r="E146" s="89"/>
      <c r="F146" s="89"/>
    </row>
    <row r="147" spans="1:6" x14ac:dyDescent="0.25">
      <c r="A147" s="150" t="s">
        <v>169</v>
      </c>
      <c r="B147" s="975" t="s">
        <v>421</v>
      </c>
      <c r="C147" s="975"/>
      <c r="D147" s="157"/>
      <c r="E147" s="89"/>
      <c r="F147" s="89"/>
    </row>
    <row r="148" spans="1:6" x14ac:dyDescent="0.25">
      <c r="A148" s="141" t="s">
        <v>171</v>
      </c>
      <c r="B148" s="142" t="s">
        <v>407</v>
      </c>
      <c r="C148" s="10" t="s">
        <v>255</v>
      </c>
      <c r="D148" s="153">
        <v>3.9</v>
      </c>
      <c r="E148" s="89"/>
      <c r="F148" s="89"/>
    </row>
    <row r="149" spans="1:6" x14ac:dyDescent="0.25">
      <c r="A149" s="57" t="s">
        <v>178</v>
      </c>
      <c r="B149" s="63" t="s">
        <v>400</v>
      </c>
      <c r="C149" s="13" t="s">
        <v>255</v>
      </c>
      <c r="D149" s="154">
        <v>14.2</v>
      </c>
      <c r="E149" s="89"/>
      <c r="F149" s="89"/>
    </row>
    <row r="150" spans="1:6" ht="15.75" thickBot="1" x14ac:dyDescent="0.3">
      <c r="A150" s="104" t="s">
        <v>182</v>
      </c>
      <c r="B150" s="119" t="s">
        <v>420</v>
      </c>
      <c r="C150" s="105" t="s">
        <v>255</v>
      </c>
      <c r="D150" s="160">
        <v>0.3</v>
      </c>
      <c r="E150" s="89"/>
      <c r="F150" s="89"/>
    </row>
    <row r="151" spans="1:6" ht="15.75" thickBot="1" x14ac:dyDescent="0.3">
      <c r="A151" s="976" t="s">
        <v>422</v>
      </c>
      <c r="B151" s="977"/>
      <c r="C151" s="977"/>
      <c r="D151" s="978"/>
      <c r="E151" s="161"/>
      <c r="F151" s="161"/>
    </row>
    <row r="152" spans="1:6" x14ac:dyDescent="0.25">
      <c r="A152" s="162">
        <v>1</v>
      </c>
      <c r="B152" s="163" t="s">
        <v>423</v>
      </c>
      <c r="C152" s="87" t="s">
        <v>162</v>
      </c>
      <c r="D152" s="102">
        <v>0</v>
      </c>
      <c r="E152" s="161"/>
      <c r="F152" s="161"/>
    </row>
    <row r="153" spans="1:6" x14ac:dyDescent="0.25">
      <c r="A153" s="141" t="s">
        <v>285</v>
      </c>
      <c r="B153" s="164" t="s">
        <v>424</v>
      </c>
      <c r="C153" s="135" t="s">
        <v>186</v>
      </c>
      <c r="D153" s="165">
        <v>0</v>
      </c>
      <c r="E153" s="161"/>
      <c r="F153" s="161"/>
    </row>
    <row r="154" spans="1:6" x14ac:dyDescent="0.25">
      <c r="A154" s="57" t="s">
        <v>295</v>
      </c>
      <c r="B154" s="166" t="s">
        <v>425</v>
      </c>
      <c r="C154" s="167" t="s">
        <v>426</v>
      </c>
      <c r="D154" s="60">
        <v>0</v>
      </c>
      <c r="E154" s="161"/>
      <c r="F154" s="161"/>
    </row>
    <row r="155" spans="1:6" x14ac:dyDescent="0.25">
      <c r="A155" s="141" t="s">
        <v>297</v>
      </c>
      <c r="B155" s="31" t="s">
        <v>427</v>
      </c>
      <c r="C155" s="13" t="s">
        <v>279</v>
      </c>
      <c r="D155" s="117">
        <v>0</v>
      </c>
      <c r="E155" s="161"/>
      <c r="F155" s="161"/>
    </row>
    <row r="156" spans="1:6" x14ac:dyDescent="0.25">
      <c r="A156" s="168">
        <v>2</v>
      </c>
      <c r="B156" s="975" t="s">
        <v>428</v>
      </c>
      <c r="C156" s="975"/>
      <c r="D156" s="169"/>
      <c r="E156" s="161"/>
      <c r="F156" s="161"/>
    </row>
    <row r="157" spans="1:6" x14ac:dyDescent="0.25">
      <c r="A157" s="141" t="s">
        <v>300</v>
      </c>
      <c r="B157" s="170" t="s">
        <v>429</v>
      </c>
      <c r="C157" s="10" t="s">
        <v>162</v>
      </c>
      <c r="D157" s="60">
        <v>0</v>
      </c>
      <c r="E157" s="152"/>
      <c r="F157" s="152"/>
    </row>
    <row r="158" spans="1:6" x14ac:dyDescent="0.25">
      <c r="A158" s="57" t="s">
        <v>354</v>
      </c>
      <c r="B158" s="164" t="s">
        <v>430</v>
      </c>
      <c r="C158" s="135" t="s">
        <v>186</v>
      </c>
      <c r="D158" s="165">
        <v>0</v>
      </c>
      <c r="E158" s="139"/>
      <c r="F158" s="139"/>
    </row>
    <row r="159" spans="1:6" x14ac:dyDescent="0.25">
      <c r="A159" s="141" t="s">
        <v>356</v>
      </c>
      <c r="B159" s="166" t="s">
        <v>431</v>
      </c>
      <c r="C159" s="167" t="s">
        <v>426</v>
      </c>
      <c r="D159" s="60">
        <v>0</v>
      </c>
      <c r="E159" s="89"/>
      <c r="F159" s="89"/>
    </row>
    <row r="160" spans="1:6" x14ac:dyDescent="0.25">
      <c r="A160" s="57" t="s">
        <v>358</v>
      </c>
      <c r="B160" s="31" t="s">
        <v>432</v>
      </c>
      <c r="C160" s="13" t="s">
        <v>279</v>
      </c>
      <c r="D160" s="117">
        <v>0</v>
      </c>
      <c r="E160" s="89"/>
      <c r="F160" s="89"/>
    </row>
    <row r="161" spans="1:6" x14ac:dyDescent="0.25">
      <c r="A161" s="158">
        <v>3</v>
      </c>
      <c r="B161" s="975" t="s">
        <v>433</v>
      </c>
      <c r="C161" s="975"/>
      <c r="D161" s="171"/>
      <c r="E161" s="89"/>
      <c r="F161" s="89"/>
    </row>
    <row r="162" spans="1:6" x14ac:dyDescent="0.25">
      <c r="A162" s="57" t="s">
        <v>165</v>
      </c>
      <c r="B162" s="164" t="s">
        <v>434</v>
      </c>
      <c r="C162" s="13" t="s">
        <v>162</v>
      </c>
      <c r="D162" s="60">
        <v>0</v>
      </c>
      <c r="E162" s="89"/>
      <c r="F162" s="89"/>
    </row>
    <row r="163" spans="1:6" x14ac:dyDescent="0.25">
      <c r="A163" s="57" t="s">
        <v>329</v>
      </c>
      <c r="B163" s="164" t="s">
        <v>435</v>
      </c>
      <c r="C163" s="135" t="s">
        <v>186</v>
      </c>
      <c r="D163" s="165">
        <v>0</v>
      </c>
      <c r="E163" s="89"/>
      <c r="F163" s="89"/>
    </row>
    <row r="164" spans="1:6" x14ac:dyDescent="0.25">
      <c r="A164" s="57" t="s">
        <v>331</v>
      </c>
      <c r="B164" s="166" t="s">
        <v>436</v>
      </c>
      <c r="C164" s="167" t="s">
        <v>426</v>
      </c>
      <c r="D164" s="60">
        <v>0</v>
      </c>
      <c r="E164" s="89"/>
      <c r="F164" s="89"/>
    </row>
    <row r="165" spans="1:6" x14ac:dyDescent="0.25">
      <c r="A165" s="57" t="s">
        <v>437</v>
      </c>
      <c r="B165" s="31" t="s">
        <v>438</v>
      </c>
      <c r="C165" s="13" t="s">
        <v>279</v>
      </c>
      <c r="D165" s="117">
        <v>0</v>
      </c>
      <c r="E165" s="89"/>
      <c r="F165" s="89"/>
    </row>
    <row r="166" spans="1:6" x14ac:dyDescent="0.25">
      <c r="A166" s="13">
        <v>4</v>
      </c>
      <c r="B166" s="983" t="s">
        <v>439</v>
      </c>
      <c r="C166" s="984"/>
      <c r="D166" s="151"/>
      <c r="E166" s="89"/>
      <c r="F166" s="89"/>
    </row>
    <row r="167" spans="1:6" x14ac:dyDescent="0.25">
      <c r="A167" s="13" t="s">
        <v>171</v>
      </c>
      <c r="B167" s="31" t="s">
        <v>440</v>
      </c>
      <c r="C167" s="13" t="s">
        <v>162</v>
      </c>
      <c r="D167" s="60">
        <v>0</v>
      </c>
      <c r="E167" s="89"/>
      <c r="F167" s="89"/>
    </row>
    <row r="168" spans="1:6" x14ac:dyDescent="0.25">
      <c r="A168" s="13" t="s">
        <v>178</v>
      </c>
      <c r="B168" s="31" t="s">
        <v>441</v>
      </c>
      <c r="C168" s="13" t="s">
        <v>186</v>
      </c>
      <c r="D168" s="60">
        <v>0</v>
      </c>
      <c r="E168" s="89"/>
      <c r="F168" s="89"/>
    </row>
    <row r="169" spans="1:6" x14ac:dyDescent="0.25">
      <c r="A169" s="13" t="s">
        <v>182</v>
      </c>
      <c r="B169" s="31" t="s">
        <v>442</v>
      </c>
      <c r="C169" s="13" t="s">
        <v>443</v>
      </c>
      <c r="D169" s="60">
        <v>0</v>
      </c>
      <c r="E169" s="89"/>
      <c r="F169" s="89"/>
    </row>
    <row r="170" spans="1:6" x14ac:dyDescent="0.25">
      <c r="A170" s="13" t="s">
        <v>402</v>
      </c>
      <c r="B170" s="31" t="s">
        <v>444</v>
      </c>
      <c r="C170" s="13" t="s">
        <v>279</v>
      </c>
      <c r="D170" s="117">
        <v>0</v>
      </c>
      <c r="E170" s="89"/>
      <c r="F170" s="89"/>
    </row>
    <row r="171" spans="1:6" x14ac:dyDescent="0.25">
      <c r="A171" s="13">
        <v>5</v>
      </c>
      <c r="B171" s="982" t="s">
        <v>445</v>
      </c>
      <c r="C171" s="982"/>
      <c r="D171" s="130"/>
      <c r="E171" s="89"/>
      <c r="F171" s="89"/>
    </row>
    <row r="172" spans="1:6" x14ac:dyDescent="0.25">
      <c r="A172" s="13" t="s">
        <v>187</v>
      </c>
      <c r="B172" s="164" t="s">
        <v>446</v>
      </c>
      <c r="C172" s="13" t="s">
        <v>162</v>
      </c>
      <c r="D172" s="60">
        <v>0</v>
      </c>
      <c r="E172" s="89"/>
      <c r="F172" s="89"/>
    </row>
    <row r="173" spans="1:6" x14ac:dyDescent="0.25">
      <c r="A173" s="57" t="s">
        <v>189</v>
      </c>
      <c r="B173" s="164" t="s">
        <v>447</v>
      </c>
      <c r="C173" s="135" t="s">
        <v>186</v>
      </c>
      <c r="D173" s="165">
        <v>0</v>
      </c>
      <c r="E173" s="89"/>
      <c r="F173" s="89"/>
    </row>
    <row r="174" spans="1:6" x14ac:dyDescent="0.25">
      <c r="A174" s="141" t="s">
        <v>336</v>
      </c>
      <c r="B174" s="166" t="s">
        <v>448</v>
      </c>
      <c r="C174" s="167" t="s">
        <v>426</v>
      </c>
      <c r="D174" s="60">
        <v>0</v>
      </c>
      <c r="E174" s="89"/>
      <c r="F174" s="89"/>
    </row>
    <row r="175" spans="1:6" x14ac:dyDescent="0.25">
      <c r="A175" s="57" t="s">
        <v>338</v>
      </c>
      <c r="B175" s="31" t="s">
        <v>449</v>
      </c>
      <c r="C175" s="13" t="s">
        <v>279</v>
      </c>
      <c r="D175" s="117">
        <v>0</v>
      </c>
      <c r="E175" s="89"/>
      <c r="F175" s="89"/>
    </row>
    <row r="176" spans="1:6" x14ac:dyDescent="0.25">
      <c r="A176" s="150">
        <v>6</v>
      </c>
      <c r="B176" s="975" t="s">
        <v>450</v>
      </c>
      <c r="C176" s="975"/>
      <c r="D176" s="171"/>
      <c r="E176" s="89"/>
      <c r="F176" s="89"/>
    </row>
    <row r="177" spans="1:6" x14ac:dyDescent="0.25">
      <c r="A177" s="57" t="s">
        <v>197</v>
      </c>
      <c r="B177" s="172" t="s">
        <v>451</v>
      </c>
      <c r="C177" s="13" t="s">
        <v>162</v>
      </c>
      <c r="D177" s="60">
        <v>0</v>
      </c>
      <c r="E177" s="89"/>
      <c r="F177" s="89"/>
    </row>
    <row r="178" spans="1:6" x14ac:dyDescent="0.25">
      <c r="A178" s="57" t="s">
        <v>199</v>
      </c>
      <c r="B178" s="14" t="s">
        <v>452</v>
      </c>
      <c r="C178" s="135" t="s">
        <v>186</v>
      </c>
      <c r="D178" s="165">
        <v>0</v>
      </c>
      <c r="E178" s="89"/>
      <c r="F178" s="89"/>
    </row>
    <row r="179" spans="1:6" x14ac:dyDescent="0.25">
      <c r="A179" s="57" t="s">
        <v>201</v>
      </c>
      <c r="B179" s="14" t="s">
        <v>453</v>
      </c>
      <c r="C179" s="10" t="s">
        <v>426</v>
      </c>
      <c r="D179" s="60">
        <v>0</v>
      </c>
      <c r="E179" s="89"/>
      <c r="F179" s="89"/>
    </row>
    <row r="180" spans="1:6" x14ac:dyDescent="0.25">
      <c r="A180" s="57" t="s">
        <v>257</v>
      </c>
      <c r="B180" s="30" t="s">
        <v>454</v>
      </c>
      <c r="C180" s="167" t="s">
        <v>426</v>
      </c>
      <c r="D180" s="60">
        <v>0</v>
      </c>
      <c r="E180" s="89"/>
      <c r="F180" s="89"/>
    </row>
    <row r="181" spans="1:6" x14ac:dyDescent="0.25">
      <c r="A181" s="57" t="s">
        <v>455</v>
      </c>
      <c r="B181" s="31" t="s">
        <v>427</v>
      </c>
      <c r="C181" s="13" t="s">
        <v>279</v>
      </c>
      <c r="D181" s="117">
        <v>0</v>
      </c>
      <c r="E181" s="89"/>
      <c r="F181" s="89"/>
    </row>
    <row r="182" spans="1:6" x14ac:dyDescent="0.25">
      <c r="A182" s="150">
        <v>7</v>
      </c>
      <c r="B182" s="975" t="s">
        <v>456</v>
      </c>
      <c r="C182" s="975"/>
      <c r="D182" s="157"/>
      <c r="E182" s="89"/>
      <c r="F182" s="89"/>
    </row>
    <row r="183" spans="1:6" x14ac:dyDescent="0.25">
      <c r="A183" s="77" t="s">
        <v>260</v>
      </c>
      <c r="B183" s="172" t="s">
        <v>457</v>
      </c>
      <c r="C183" s="13" t="s">
        <v>162</v>
      </c>
      <c r="D183" s="60">
        <v>0</v>
      </c>
      <c r="E183" s="89"/>
      <c r="F183" s="89"/>
    </row>
    <row r="184" spans="1:6" x14ac:dyDescent="0.25">
      <c r="A184" s="77" t="s">
        <v>261</v>
      </c>
      <c r="B184" s="14" t="s">
        <v>458</v>
      </c>
      <c r="C184" s="135" t="s">
        <v>186</v>
      </c>
      <c r="D184" s="165">
        <v>0</v>
      </c>
      <c r="E184" s="89"/>
      <c r="F184" s="89"/>
    </row>
    <row r="185" spans="1:6" x14ac:dyDescent="0.25">
      <c r="A185" s="77" t="s">
        <v>262</v>
      </c>
      <c r="B185" s="14" t="s">
        <v>459</v>
      </c>
      <c r="C185" s="10" t="s">
        <v>426</v>
      </c>
      <c r="D185" s="60">
        <v>0</v>
      </c>
      <c r="E185" s="89"/>
      <c r="F185" s="89"/>
    </row>
    <row r="186" spans="1:6" x14ac:dyDescent="0.25">
      <c r="A186" s="77" t="s">
        <v>460</v>
      </c>
      <c r="B186" s="14" t="s">
        <v>461</v>
      </c>
      <c r="C186" s="10" t="s">
        <v>426</v>
      </c>
      <c r="D186" s="60">
        <v>0</v>
      </c>
      <c r="E186" s="89"/>
      <c r="F186" s="89"/>
    </row>
    <row r="187" spans="1:6" x14ac:dyDescent="0.25">
      <c r="A187" s="77" t="s">
        <v>462</v>
      </c>
      <c r="B187" s="14" t="s">
        <v>463</v>
      </c>
      <c r="C187" s="10" t="s">
        <v>426</v>
      </c>
      <c r="D187" s="60">
        <v>0</v>
      </c>
      <c r="E187" s="89"/>
      <c r="F187" s="89"/>
    </row>
    <row r="188" spans="1:6" x14ac:dyDescent="0.25">
      <c r="A188" s="77" t="s">
        <v>464</v>
      </c>
      <c r="B188" s="14" t="s">
        <v>454</v>
      </c>
      <c r="C188" s="10" t="s">
        <v>426</v>
      </c>
      <c r="D188" s="60">
        <v>0</v>
      </c>
      <c r="E188" s="89"/>
      <c r="F188" s="89"/>
    </row>
    <row r="189" spans="1:6" ht="15.75" thickBot="1" x14ac:dyDescent="0.3">
      <c r="A189" s="104" t="s">
        <v>465</v>
      </c>
      <c r="B189" s="173" t="s">
        <v>427</v>
      </c>
      <c r="C189" s="105" t="s">
        <v>279</v>
      </c>
      <c r="D189" s="121">
        <v>0</v>
      </c>
      <c r="E189" s="89"/>
      <c r="F189" s="89"/>
    </row>
    <row r="190" spans="1:6" ht="15.75" thickBot="1" x14ac:dyDescent="0.3">
      <c r="A190" s="979" t="s">
        <v>466</v>
      </c>
      <c r="B190" s="980"/>
      <c r="C190" s="980"/>
      <c r="D190" s="981"/>
      <c r="E190" s="152"/>
      <c r="F190" s="152"/>
    </row>
    <row r="191" spans="1:6" x14ac:dyDescent="0.25">
      <c r="A191" s="162"/>
      <c r="B191" s="174" t="s">
        <v>467</v>
      </c>
      <c r="C191" s="128" t="s">
        <v>279</v>
      </c>
      <c r="D191" s="175">
        <f>SUM(D192:D196)</f>
        <v>17</v>
      </c>
      <c r="E191" s="152"/>
      <c r="F191" s="152"/>
    </row>
    <row r="192" spans="1:6" x14ac:dyDescent="0.25">
      <c r="A192" s="57">
        <v>1</v>
      </c>
      <c r="B192" s="63" t="s">
        <v>468</v>
      </c>
      <c r="C192" s="136" t="s">
        <v>279</v>
      </c>
      <c r="D192" s="176">
        <v>0</v>
      </c>
      <c r="E192" s="152"/>
      <c r="F192" s="152"/>
    </row>
    <row r="193" spans="1:6" x14ac:dyDescent="0.25">
      <c r="A193" s="57">
        <v>2</v>
      </c>
      <c r="B193" s="63" t="s">
        <v>469</v>
      </c>
      <c r="C193" s="136" t="s">
        <v>279</v>
      </c>
      <c r="D193" s="176">
        <v>2</v>
      </c>
      <c r="E193" s="90"/>
      <c r="F193" s="90"/>
    </row>
    <row r="194" spans="1:6" x14ac:dyDescent="0.25">
      <c r="A194" s="57">
        <v>3</v>
      </c>
      <c r="B194" s="63" t="s">
        <v>470</v>
      </c>
      <c r="C194" s="136" t="s">
        <v>279</v>
      </c>
      <c r="D194" s="176">
        <v>0</v>
      </c>
      <c r="E194" s="90"/>
      <c r="F194" s="90"/>
    </row>
    <row r="195" spans="1:6" x14ac:dyDescent="0.25">
      <c r="A195" s="57">
        <v>4</v>
      </c>
      <c r="B195" s="63" t="s">
        <v>471</v>
      </c>
      <c r="C195" s="136" t="s">
        <v>279</v>
      </c>
      <c r="D195" s="176">
        <v>7</v>
      </c>
      <c r="E195" s="90"/>
      <c r="F195" s="90"/>
    </row>
    <row r="196" spans="1:6" x14ac:dyDescent="0.25">
      <c r="A196" s="57">
        <v>5</v>
      </c>
      <c r="B196" s="63" t="s">
        <v>472</v>
      </c>
      <c r="C196" s="136" t="s">
        <v>279</v>
      </c>
      <c r="D196" s="177">
        <f>SUM(D197:D201)</f>
        <v>8</v>
      </c>
      <c r="E196" s="90"/>
      <c r="F196" s="90"/>
    </row>
    <row r="197" spans="1:6" x14ac:dyDescent="0.25">
      <c r="A197" s="79" t="s">
        <v>187</v>
      </c>
      <c r="B197" s="65" t="s">
        <v>473</v>
      </c>
      <c r="C197" s="135" t="s">
        <v>279</v>
      </c>
      <c r="D197" s="178">
        <v>0</v>
      </c>
      <c r="E197" s="90"/>
      <c r="F197" s="90"/>
    </row>
    <row r="198" spans="1:6" x14ac:dyDescent="0.25">
      <c r="A198" s="79" t="s">
        <v>189</v>
      </c>
      <c r="B198" s="65" t="s">
        <v>474</v>
      </c>
      <c r="C198" s="135" t="s">
        <v>279</v>
      </c>
      <c r="D198" s="178">
        <v>1</v>
      </c>
      <c r="E198" s="90"/>
      <c r="F198" s="90"/>
    </row>
    <row r="199" spans="1:6" x14ac:dyDescent="0.25">
      <c r="A199" s="79" t="s">
        <v>336</v>
      </c>
      <c r="B199" s="65" t="s">
        <v>475</v>
      </c>
      <c r="C199" s="135" t="s">
        <v>279</v>
      </c>
      <c r="D199" s="178">
        <v>0</v>
      </c>
      <c r="E199" s="90"/>
      <c r="F199" s="90"/>
    </row>
    <row r="200" spans="1:6" x14ac:dyDescent="0.25">
      <c r="A200" s="79" t="s">
        <v>338</v>
      </c>
      <c r="B200" s="65" t="s">
        <v>476</v>
      </c>
      <c r="C200" s="135" t="s">
        <v>279</v>
      </c>
      <c r="D200" s="178">
        <v>0</v>
      </c>
      <c r="E200" s="90"/>
      <c r="F200" s="90"/>
    </row>
    <row r="201" spans="1:6" ht="15.75" thickBot="1" x14ac:dyDescent="0.3">
      <c r="A201" s="179" t="s">
        <v>408</v>
      </c>
      <c r="B201" s="81" t="s">
        <v>477</v>
      </c>
      <c r="C201" s="180" t="s">
        <v>279</v>
      </c>
      <c r="D201" s="181">
        <v>7</v>
      </c>
      <c r="E201" s="90"/>
      <c r="F201" s="90"/>
    </row>
    <row r="202" spans="1:6" ht="15.75" thickBot="1" x14ac:dyDescent="0.3">
      <c r="A202" s="972" t="s">
        <v>478</v>
      </c>
      <c r="B202" s="973"/>
      <c r="C202" s="973"/>
      <c r="D202" s="974"/>
      <c r="E202" s="182"/>
      <c r="F202" s="182"/>
    </row>
    <row r="203" spans="1:6" x14ac:dyDescent="0.25">
      <c r="A203" s="183">
        <v>1</v>
      </c>
      <c r="B203" s="184" t="s">
        <v>479</v>
      </c>
      <c r="C203" s="184" t="s">
        <v>480</v>
      </c>
      <c r="D203" s="185">
        <v>0</v>
      </c>
      <c r="E203" s="186"/>
      <c r="F203" s="186"/>
    </row>
    <row r="204" spans="1:6" x14ac:dyDescent="0.25">
      <c r="A204" s="187">
        <v>2</v>
      </c>
      <c r="B204" s="188" t="s">
        <v>481</v>
      </c>
      <c r="C204" s="188" t="s">
        <v>279</v>
      </c>
      <c r="D204" s="189">
        <v>0</v>
      </c>
      <c r="E204" s="186"/>
      <c r="F204" s="186"/>
    </row>
    <row r="205" spans="1:6" x14ac:dyDescent="0.25">
      <c r="A205" s="187">
        <v>3</v>
      </c>
      <c r="B205" s="188" t="s">
        <v>482</v>
      </c>
      <c r="C205" s="188" t="s">
        <v>279</v>
      </c>
      <c r="D205" s="190">
        <f>SUM(D206,D209,D210)</f>
        <v>0</v>
      </c>
      <c r="E205" s="186"/>
      <c r="F205" s="186"/>
    </row>
    <row r="206" spans="1:6" x14ac:dyDescent="0.25">
      <c r="A206" s="187" t="s">
        <v>165</v>
      </c>
      <c r="B206" s="188" t="s">
        <v>483</v>
      </c>
      <c r="C206" s="188" t="s">
        <v>279</v>
      </c>
      <c r="D206" s="190">
        <f>SUM(D207,D208)</f>
        <v>0</v>
      </c>
      <c r="E206" s="191"/>
      <c r="F206" s="191"/>
    </row>
    <row r="207" spans="1:6" x14ac:dyDescent="0.25">
      <c r="A207" s="192" t="s">
        <v>167</v>
      </c>
      <c r="B207" s="193" t="s">
        <v>484</v>
      </c>
      <c r="C207" s="194" t="s">
        <v>279</v>
      </c>
      <c r="D207" s="195">
        <v>0</v>
      </c>
      <c r="E207" s="196"/>
      <c r="F207" s="196"/>
    </row>
    <row r="208" spans="1:6" x14ac:dyDescent="0.25">
      <c r="A208" s="192" t="s">
        <v>485</v>
      </c>
      <c r="B208" s="193" t="s">
        <v>486</v>
      </c>
      <c r="C208" s="194" t="s">
        <v>279</v>
      </c>
      <c r="D208" s="195">
        <v>0</v>
      </c>
      <c r="E208" s="196"/>
      <c r="F208" s="196"/>
    </row>
    <row r="209" spans="1:6" x14ac:dyDescent="0.25">
      <c r="A209" s="187" t="s">
        <v>329</v>
      </c>
      <c r="B209" s="188" t="s">
        <v>487</v>
      </c>
      <c r="C209" s="188" t="s">
        <v>279</v>
      </c>
      <c r="D209" s="189">
        <v>0</v>
      </c>
      <c r="E209" s="186"/>
      <c r="F209" s="186"/>
    </row>
    <row r="210" spans="1:6" ht="15.75" thickBot="1" x14ac:dyDescent="0.3">
      <c r="A210" s="197" t="s">
        <v>331</v>
      </c>
      <c r="B210" s="198" t="s">
        <v>488</v>
      </c>
      <c r="C210" s="198" t="s">
        <v>279</v>
      </c>
      <c r="D210" s="199">
        <v>0</v>
      </c>
      <c r="E210" s="186"/>
      <c r="F210" s="186"/>
    </row>
    <row r="211" spans="1:6" x14ac:dyDescent="0.25">
      <c r="A211" s="200"/>
      <c r="B211" s="200"/>
      <c r="C211" s="200"/>
      <c r="D211" s="201"/>
      <c r="E211" s="186"/>
      <c r="F211" s="186"/>
    </row>
    <row r="214" spans="1:6" x14ac:dyDescent="0.25">
      <c r="B214" s="202"/>
    </row>
    <row r="215" spans="1:6" x14ac:dyDescent="0.25">
      <c r="A215" s="203"/>
    </row>
    <row r="216" spans="1:6" x14ac:dyDescent="0.25">
      <c r="A216" s="203"/>
      <c r="B216" s="204"/>
    </row>
  </sheetData>
  <sheetProtection algorithmName="SHA-512" hashValue="vrezB4SNl7iitmcyz1BXnEmFUrj8e3L12YiHlIb0lGFw1cXTGfWGA6rDDuAnoNFZHNadgUKtnjBI3R4Ld7Vq0g==" saltValue="umK89tuJN6tEIM+F9mWl11dkj0OW2ZgWmCZc436jFXB9L4pAs2Y9zAJpRHr9t5UNGtbsgRI+7JsUOnt2k6/FWQ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52"/>
  <sheetViews>
    <sheetView topLeftCell="A56" zoomScaleNormal="100" workbookViewId="0">
      <selection activeCell="F141" sqref="F141"/>
    </sheetView>
  </sheetViews>
  <sheetFormatPr defaultRowHeight="15" x14ac:dyDescent="0.25"/>
  <cols>
    <col min="1" max="1" width="6.7109375" style="2" customWidth="1"/>
    <col min="2" max="2" width="72" style="2" customWidth="1"/>
    <col min="3" max="3" width="11.42578125" style="2" customWidth="1"/>
    <col min="4" max="4" width="23.42578125" style="2" customWidth="1"/>
    <col min="5" max="5" width="9.140625" style="2"/>
    <col min="6" max="6" width="22.28515625" style="2" customWidth="1"/>
    <col min="7" max="16384" width="9.140625" style="2"/>
  </cols>
  <sheetData>
    <row r="1" spans="1:6" customFormat="1" x14ac:dyDescent="0.25">
      <c r="A1" s="997" t="s">
        <v>0</v>
      </c>
      <c r="B1" s="998"/>
      <c r="C1" s="998"/>
      <c r="D1" s="999"/>
    </row>
    <row r="2" spans="1:6" customFormat="1" x14ac:dyDescent="0.25">
      <c r="A2" s="997" t="s">
        <v>1</v>
      </c>
      <c r="B2" s="998"/>
      <c r="C2" s="998"/>
      <c r="D2" s="999"/>
    </row>
    <row r="3" spans="1:6" customFormat="1" x14ac:dyDescent="0.25">
      <c r="A3" s="1000"/>
      <c r="B3" s="1001"/>
      <c r="C3" s="1001"/>
      <c r="D3" s="1002"/>
    </row>
    <row r="4" spans="1:6" customFormat="1" x14ac:dyDescent="0.25">
      <c r="A4" s="205"/>
      <c r="B4" s="205"/>
      <c r="C4" s="205"/>
      <c r="D4" s="205"/>
    </row>
    <row r="5" spans="1:6" customFormat="1" x14ac:dyDescent="0.25">
      <c r="A5" s="1003" t="s">
        <v>489</v>
      </c>
      <c r="B5" s="1004"/>
      <c r="C5" s="1004"/>
      <c r="D5" s="1005"/>
    </row>
    <row r="6" spans="1:6" customFormat="1" x14ac:dyDescent="0.25">
      <c r="A6" s="205"/>
      <c r="B6" s="205"/>
      <c r="C6" s="205"/>
      <c r="D6" s="205"/>
    </row>
    <row r="8" spans="1:6" customFormat="1" ht="15.75" thickBot="1" x14ac:dyDescent="0.3">
      <c r="A8" s="206"/>
      <c r="B8" s="1006" t="s">
        <v>490</v>
      </c>
      <c r="C8" s="1006"/>
      <c r="D8" s="1006"/>
      <c r="E8" s="206"/>
    </row>
    <row r="9" spans="1:6" customFormat="1" ht="15.75" thickBot="1" x14ac:dyDescent="0.3">
      <c r="A9" s="207" t="s">
        <v>4</v>
      </c>
      <c r="B9" s="109" t="s">
        <v>491</v>
      </c>
      <c r="C9" s="208" t="s">
        <v>1600</v>
      </c>
      <c r="D9" s="207" t="s">
        <v>492</v>
      </c>
      <c r="E9" s="209"/>
      <c r="F9" s="210"/>
    </row>
    <row r="10" spans="1:6" customFormat="1" x14ac:dyDescent="0.25">
      <c r="A10" s="989" t="s">
        <v>493</v>
      </c>
      <c r="B10" s="990"/>
      <c r="C10" s="990"/>
      <c r="D10" s="991"/>
      <c r="E10" s="211"/>
      <c r="F10" s="210"/>
    </row>
    <row r="11" spans="1:6" customFormat="1" x14ac:dyDescent="0.25">
      <c r="A11" s="212" t="s">
        <v>494</v>
      </c>
      <c r="B11" s="39" t="s">
        <v>495</v>
      </c>
      <c r="C11" s="213">
        <f>SUM(C12,C44:C53)</f>
        <v>43329.639450000002</v>
      </c>
      <c r="D11" s="214"/>
      <c r="E11" s="211"/>
      <c r="F11" s="210"/>
    </row>
    <row r="12" spans="1:6" customFormat="1" x14ac:dyDescent="0.25">
      <c r="A12" s="212" t="s">
        <v>496</v>
      </c>
      <c r="B12" s="13" t="s">
        <v>497</v>
      </c>
      <c r="C12" s="215">
        <f>SUM(C13:C18,C30,C36,C43)</f>
        <v>30669.60337668777</v>
      </c>
      <c r="D12" s="214" t="s">
        <v>498</v>
      </c>
      <c r="E12" s="216"/>
      <c r="F12" s="210"/>
    </row>
    <row r="13" spans="1:6" customFormat="1" x14ac:dyDescent="0.25">
      <c r="A13" s="57" t="s">
        <v>347</v>
      </c>
      <c r="B13" s="39" t="s">
        <v>27</v>
      </c>
      <c r="C13" s="217">
        <f>'Forma 7'!VAS007_F_ReguliuojamamIlgalaikiamTurtuiPriskirtaIlgalaikioTukstLtZeme</f>
        <v>0</v>
      </c>
      <c r="D13" s="214" t="s">
        <v>499</v>
      </c>
      <c r="E13" s="211"/>
      <c r="F13" s="210"/>
    </row>
    <row r="14" spans="1:6" customFormat="1" x14ac:dyDescent="0.25">
      <c r="A14" s="57" t="s">
        <v>351</v>
      </c>
      <c r="B14" s="39" t="s">
        <v>29</v>
      </c>
      <c r="C14" s="217">
        <f>'Forma 7'!VAS007_F_ReguliuojamamIlgalaikiamTurtuiPriskirtaIlgalaikioTukstLtPastatai</f>
        <v>424.18154429085928</v>
      </c>
      <c r="D14" s="214" t="s">
        <v>500</v>
      </c>
      <c r="E14" s="211"/>
      <c r="F14" s="210"/>
    </row>
    <row r="15" spans="1:6" customFormat="1" x14ac:dyDescent="0.25">
      <c r="A15" s="57" t="s">
        <v>364</v>
      </c>
      <c r="B15" s="39" t="s">
        <v>501</v>
      </c>
      <c r="C15" s="217">
        <f>'Forma 7'!VAS007_F_ReguliuojamamIlgalaikiamTurtuiPriskirtaIlgalaikioTukstLtStatiniai</f>
        <v>3492.1663844473119</v>
      </c>
      <c r="D15" s="214" t="s">
        <v>502</v>
      </c>
      <c r="E15" s="211"/>
      <c r="F15" s="210"/>
    </row>
    <row r="16" spans="1:6" customFormat="1" x14ac:dyDescent="0.25">
      <c r="A16" s="57" t="s">
        <v>169</v>
      </c>
      <c r="B16" s="39" t="s">
        <v>503</v>
      </c>
      <c r="C16" s="217">
        <v>0</v>
      </c>
      <c r="D16" s="992" t="s">
        <v>504</v>
      </c>
      <c r="E16" s="211"/>
    </row>
    <row r="17" spans="1:5" customFormat="1" x14ac:dyDescent="0.25">
      <c r="A17" s="57" t="s">
        <v>184</v>
      </c>
      <c r="B17" s="39" t="s">
        <v>505</v>
      </c>
      <c r="C17" s="217">
        <f>'Forma 7'!VAS007_F_ReguliuojamamIlgalaikiamTurtuiPriskirtaIlgalaikioVandentiekioIrNuoteku</f>
        <v>25799.129199999999</v>
      </c>
      <c r="D17" s="993"/>
      <c r="E17" s="211"/>
    </row>
    <row r="18" spans="1:5" customFormat="1" x14ac:dyDescent="0.25">
      <c r="A18" s="57" t="s">
        <v>195</v>
      </c>
      <c r="B18" s="39" t="s">
        <v>37</v>
      </c>
      <c r="C18" s="218">
        <f>SUM(C19,C29,C26)</f>
        <v>295.67351086579998</v>
      </c>
      <c r="D18" s="214" t="s">
        <v>506</v>
      </c>
      <c r="E18" s="216"/>
    </row>
    <row r="19" spans="1:5" customFormat="1" x14ac:dyDescent="0.25">
      <c r="A19" s="57" t="s">
        <v>197</v>
      </c>
      <c r="B19" s="31" t="s">
        <v>507</v>
      </c>
      <c r="C19" s="219">
        <f>SUM(C20:C25)</f>
        <v>0</v>
      </c>
      <c r="D19" s="214"/>
      <c r="E19" s="211"/>
    </row>
    <row r="20" spans="1:5" customFormat="1" x14ac:dyDescent="0.25">
      <c r="A20" s="79" t="s">
        <v>508</v>
      </c>
      <c r="B20" s="65" t="s">
        <v>509</v>
      </c>
      <c r="C20" s="220">
        <v>0</v>
      </c>
      <c r="D20" s="221"/>
      <c r="E20" s="222"/>
    </row>
    <row r="21" spans="1:5" customFormat="1" x14ac:dyDescent="0.25">
      <c r="A21" s="79" t="s">
        <v>510</v>
      </c>
      <c r="B21" s="65" t="s">
        <v>511</v>
      </c>
      <c r="C21" s="220">
        <v>0</v>
      </c>
      <c r="D21" s="221"/>
      <c r="E21" s="222"/>
    </row>
    <row r="22" spans="1:5" customFormat="1" x14ac:dyDescent="0.25">
      <c r="A22" s="79" t="s">
        <v>512</v>
      </c>
      <c r="B22" s="65" t="s">
        <v>513</v>
      </c>
      <c r="C22" s="220">
        <v>0</v>
      </c>
      <c r="D22" s="221"/>
      <c r="E22" s="222"/>
    </row>
    <row r="23" spans="1:5" customFormat="1" x14ac:dyDescent="0.25">
      <c r="A23" s="79" t="s">
        <v>514</v>
      </c>
      <c r="B23" s="65" t="s">
        <v>515</v>
      </c>
      <c r="C23" s="220">
        <v>0</v>
      </c>
      <c r="D23" s="221"/>
      <c r="E23" s="222"/>
    </row>
    <row r="24" spans="1:5" customFormat="1" x14ac:dyDescent="0.25">
      <c r="A24" s="79" t="s">
        <v>516</v>
      </c>
      <c r="B24" s="65" t="s">
        <v>517</v>
      </c>
      <c r="C24" s="220">
        <v>0</v>
      </c>
      <c r="D24" s="221"/>
      <c r="E24" s="222"/>
    </row>
    <row r="25" spans="1:5" customFormat="1" x14ac:dyDescent="0.25">
      <c r="A25" s="79" t="s">
        <v>518</v>
      </c>
      <c r="B25" s="65" t="s">
        <v>519</v>
      </c>
      <c r="C25" s="220">
        <v>0</v>
      </c>
      <c r="D25" s="221"/>
      <c r="E25" s="222"/>
    </row>
    <row r="26" spans="1:5" customFormat="1" x14ac:dyDescent="0.25">
      <c r="A26" s="57" t="s">
        <v>199</v>
      </c>
      <c r="B26" s="13" t="s">
        <v>520</v>
      </c>
      <c r="C26" s="223">
        <f>SUM(C27,C28)</f>
        <v>0</v>
      </c>
      <c r="D26" s="214"/>
      <c r="E26" s="211"/>
    </row>
    <row r="27" spans="1:5" customFormat="1" x14ac:dyDescent="0.25">
      <c r="A27" s="79" t="s">
        <v>521</v>
      </c>
      <c r="B27" s="65" t="s">
        <v>522</v>
      </c>
      <c r="C27" s="220">
        <v>0</v>
      </c>
      <c r="D27" s="221"/>
      <c r="E27" s="222"/>
    </row>
    <row r="28" spans="1:5" customFormat="1" x14ac:dyDescent="0.25">
      <c r="A28" s="79" t="s">
        <v>523</v>
      </c>
      <c r="B28" s="65" t="s">
        <v>517</v>
      </c>
      <c r="C28" s="220">
        <v>0</v>
      </c>
      <c r="D28" s="221"/>
      <c r="E28" s="222"/>
    </row>
    <row r="29" spans="1:5" customFormat="1" x14ac:dyDescent="0.25">
      <c r="A29" s="57" t="s">
        <v>201</v>
      </c>
      <c r="B29" s="13" t="s">
        <v>524</v>
      </c>
      <c r="C29" s="224">
        <f>'Forma 7'!VAS007_F_ReguliuojamamIlgalaikiamTurtuiPriskirtaIlgalaikioTukstLtMasinos</f>
        <v>295.67351086579998</v>
      </c>
      <c r="D29" s="214"/>
      <c r="E29" s="211"/>
    </row>
    <row r="30" spans="1:5" customFormat="1" x14ac:dyDescent="0.25">
      <c r="A30" s="57" t="s">
        <v>203</v>
      </c>
      <c r="B30" s="39" t="s">
        <v>525</v>
      </c>
      <c r="C30" s="218">
        <f>SUM(C31:C35)</f>
        <v>576.2652171850001</v>
      </c>
      <c r="D30" s="214" t="s">
        <v>526</v>
      </c>
      <c r="E30" s="216"/>
    </row>
    <row r="31" spans="1:5" customFormat="1" x14ac:dyDescent="0.25">
      <c r="A31" s="57" t="s">
        <v>260</v>
      </c>
      <c r="B31" s="13" t="s">
        <v>527</v>
      </c>
      <c r="C31" s="224">
        <v>0</v>
      </c>
      <c r="D31" s="214"/>
      <c r="E31" s="211"/>
    </row>
    <row r="32" spans="1:5" customFormat="1" x14ac:dyDescent="0.25">
      <c r="A32" s="57" t="s">
        <v>261</v>
      </c>
      <c r="B32" s="13" t="s">
        <v>528</v>
      </c>
      <c r="C32" s="224">
        <v>0</v>
      </c>
      <c r="D32" s="214"/>
      <c r="E32" s="211"/>
    </row>
    <row r="33" spans="1:5" customFormat="1" x14ac:dyDescent="0.25">
      <c r="A33" s="57" t="s">
        <v>262</v>
      </c>
      <c r="B33" s="13" t="s">
        <v>529</v>
      </c>
      <c r="C33" s="224">
        <v>0</v>
      </c>
      <c r="D33" s="214"/>
      <c r="E33" s="211"/>
    </row>
    <row r="34" spans="1:5" customFormat="1" x14ac:dyDescent="0.25">
      <c r="A34" s="57" t="s">
        <v>460</v>
      </c>
      <c r="B34" s="13" t="s">
        <v>530</v>
      </c>
      <c r="C34" s="224">
        <v>0</v>
      </c>
      <c r="D34" s="214"/>
      <c r="E34" s="211"/>
    </row>
    <row r="35" spans="1:5" customFormat="1" x14ac:dyDescent="0.25">
      <c r="A35" s="57" t="s">
        <v>462</v>
      </c>
      <c r="B35" s="13" t="s">
        <v>531</v>
      </c>
      <c r="C35" s="224">
        <f>'Forma 7'!VAS007_F_ReguliuojamamIlgalaikiamTurtuiPriskirtaIlgalaikioTukstLtTransporto</f>
        <v>576.2652171850001</v>
      </c>
      <c r="D35" s="214"/>
      <c r="E35" s="211"/>
    </row>
    <row r="36" spans="1:5" customFormat="1" x14ac:dyDescent="0.25">
      <c r="A36" s="57" t="s">
        <v>205</v>
      </c>
      <c r="B36" s="39" t="s">
        <v>532</v>
      </c>
      <c r="C36" s="218">
        <f>C37+C42</f>
        <v>69.97784841299999</v>
      </c>
      <c r="D36" s="214" t="s">
        <v>533</v>
      </c>
      <c r="E36" s="211"/>
    </row>
    <row r="37" spans="1:5" customFormat="1" x14ac:dyDescent="0.25">
      <c r="A37" s="57" t="s">
        <v>265</v>
      </c>
      <c r="B37" s="31" t="s">
        <v>534</v>
      </c>
      <c r="C37" s="223">
        <f>SUM(C38:C41)</f>
        <v>0</v>
      </c>
      <c r="D37" s="214"/>
      <c r="E37" s="211"/>
    </row>
    <row r="38" spans="1:5" customFormat="1" x14ac:dyDescent="0.25">
      <c r="A38" s="79" t="s">
        <v>535</v>
      </c>
      <c r="B38" s="65" t="s">
        <v>536</v>
      </c>
      <c r="C38" s="220">
        <v>0</v>
      </c>
      <c r="D38" s="221"/>
      <c r="E38" s="222"/>
    </row>
    <row r="39" spans="1:5" customFormat="1" x14ac:dyDescent="0.25">
      <c r="A39" s="79" t="s">
        <v>537</v>
      </c>
      <c r="B39" s="65" t="s">
        <v>538</v>
      </c>
      <c r="C39" s="220">
        <v>0</v>
      </c>
      <c r="D39" s="221"/>
      <c r="E39" s="222"/>
    </row>
    <row r="40" spans="1:5" customFormat="1" x14ac:dyDescent="0.25">
      <c r="A40" s="79" t="s">
        <v>539</v>
      </c>
      <c r="B40" s="65" t="s">
        <v>540</v>
      </c>
      <c r="C40" s="220">
        <v>0</v>
      </c>
      <c r="D40" s="221"/>
      <c r="E40" s="222"/>
    </row>
    <row r="41" spans="1:5" customFormat="1" x14ac:dyDescent="0.25">
      <c r="A41" s="79" t="s">
        <v>541</v>
      </c>
      <c r="B41" s="65" t="s">
        <v>542</v>
      </c>
      <c r="C41" s="220">
        <v>0</v>
      </c>
      <c r="D41" s="221"/>
      <c r="E41" s="222"/>
    </row>
    <row r="42" spans="1:5" customFormat="1" x14ac:dyDescent="0.25">
      <c r="A42" s="57" t="s">
        <v>268</v>
      </c>
      <c r="B42" s="31" t="s">
        <v>543</v>
      </c>
      <c r="C42" s="220">
        <f>'Forma 7'!VAS007_F_ReguliuojamamIlgalaikiamTurtuiPriskirtaIlgalaikioTukstLtKiti</f>
        <v>69.97784841299999</v>
      </c>
      <c r="D42" s="221"/>
      <c r="E42" s="222"/>
    </row>
    <row r="43" spans="1:5" customFormat="1" ht="15.75" thickBot="1" x14ac:dyDescent="0.3">
      <c r="A43" s="225" t="s">
        <v>207</v>
      </c>
      <c r="B43" s="226" t="s">
        <v>544</v>
      </c>
      <c r="C43" s="227">
        <f>'Forma 7'!VAS007_F_ReguliuojamamIlgalaikiamTurtuiPriskirtaIlgalaikioTukstLtNematerialus</f>
        <v>12.209671485800001</v>
      </c>
      <c r="D43" s="228" t="s">
        <v>545</v>
      </c>
      <c r="E43" s="222"/>
    </row>
    <row r="44" spans="1:5" customFormat="1" ht="15.75" thickTop="1" x14ac:dyDescent="0.25">
      <c r="A44" s="229" t="s">
        <v>546</v>
      </c>
      <c r="B44" s="230" t="s">
        <v>547</v>
      </c>
      <c r="C44" s="231">
        <v>0</v>
      </c>
      <c r="D44" s="232"/>
      <c r="E44" s="211"/>
    </row>
    <row r="45" spans="1:5" customFormat="1" ht="26.25" x14ac:dyDescent="0.25">
      <c r="A45" s="212" t="s">
        <v>548</v>
      </c>
      <c r="B45" s="233" t="s">
        <v>549</v>
      </c>
      <c r="C45" s="224">
        <v>0</v>
      </c>
      <c r="D45" s="214"/>
      <c r="E45" s="211"/>
    </row>
    <row r="46" spans="1:5" customFormat="1" x14ac:dyDescent="0.25">
      <c r="A46" s="212" t="s">
        <v>550</v>
      </c>
      <c r="B46" s="234" t="s">
        <v>551</v>
      </c>
      <c r="C46" s="224">
        <v>0</v>
      </c>
      <c r="D46" s="221"/>
      <c r="E46" s="222"/>
    </row>
    <row r="47" spans="1:5" customFormat="1" x14ac:dyDescent="0.25">
      <c r="A47" s="212" t="s">
        <v>552</v>
      </c>
      <c r="B47" s="39" t="s">
        <v>553</v>
      </c>
      <c r="C47" s="224">
        <v>0</v>
      </c>
      <c r="D47" s="221"/>
      <c r="E47" s="222"/>
    </row>
    <row r="48" spans="1:5" customFormat="1" x14ac:dyDescent="0.25">
      <c r="A48" s="212" t="s">
        <v>554</v>
      </c>
      <c r="B48" s="235" t="s">
        <v>555</v>
      </c>
      <c r="C48" s="236">
        <v>0</v>
      </c>
      <c r="D48" s="237"/>
      <c r="E48" s="222"/>
    </row>
    <row r="49" spans="1:5" customFormat="1" x14ac:dyDescent="0.25">
      <c r="A49" s="238" t="s">
        <v>556</v>
      </c>
      <c r="B49" s="235" t="s">
        <v>557</v>
      </c>
      <c r="C49" s="236">
        <v>0</v>
      </c>
      <c r="D49" s="237"/>
      <c r="E49" s="222"/>
    </row>
    <row r="50" spans="1:5" customFormat="1" x14ac:dyDescent="0.25">
      <c r="A50" s="238" t="s">
        <v>558</v>
      </c>
      <c r="B50" s="39" t="s">
        <v>559</v>
      </c>
      <c r="C50" s="236">
        <f>'Forma 7'!VAS007_F_NereguliuojamamIlgalaikiamTurtuiIsViso</f>
        <v>10989.736523312231</v>
      </c>
      <c r="D50" s="214" t="s">
        <v>560</v>
      </c>
      <c r="E50" s="222"/>
    </row>
    <row r="51" spans="1:5" customFormat="1" x14ac:dyDescent="0.25">
      <c r="A51" s="238" t="s">
        <v>561</v>
      </c>
      <c r="B51" s="234" t="s">
        <v>562</v>
      </c>
      <c r="C51" s="236">
        <v>0</v>
      </c>
      <c r="D51" s="237"/>
      <c r="E51" s="222"/>
    </row>
    <row r="52" spans="1:5" customFormat="1" x14ac:dyDescent="0.25">
      <c r="A52" s="238" t="s">
        <v>563</v>
      </c>
      <c r="B52" s="235" t="s">
        <v>564</v>
      </c>
      <c r="C52" s="239">
        <f>('[1] Bal 18'!$D$52+'[1] Bal 18'!$D$56)/1000</f>
        <v>1670.29955</v>
      </c>
      <c r="D52" s="237"/>
      <c r="E52" s="222"/>
    </row>
    <row r="53" spans="1:5" customFormat="1" x14ac:dyDescent="0.25">
      <c r="A53" s="238" t="s">
        <v>565</v>
      </c>
      <c r="B53" s="235" t="s">
        <v>566</v>
      </c>
      <c r="C53" s="240">
        <v>0</v>
      </c>
      <c r="D53" s="237"/>
      <c r="E53" s="222"/>
    </row>
    <row r="54" spans="1:5" customFormat="1" ht="15.75" thickBot="1" x14ac:dyDescent="0.3">
      <c r="A54" s="147" t="s">
        <v>567</v>
      </c>
      <c r="B54" s="148" t="s">
        <v>568</v>
      </c>
      <c r="C54" s="241">
        <v>0</v>
      </c>
      <c r="D54" s="242"/>
      <c r="E54" s="211"/>
    </row>
    <row r="55" spans="1:5" customFormat="1" ht="15.75" thickBot="1" x14ac:dyDescent="0.3">
      <c r="A55" s="986" t="s">
        <v>569</v>
      </c>
      <c r="B55" s="987"/>
      <c r="C55" s="987"/>
      <c r="D55" s="988"/>
      <c r="E55" s="216"/>
    </row>
    <row r="56" spans="1:5" customFormat="1" ht="25.5" x14ac:dyDescent="0.25">
      <c r="A56" s="243" t="s">
        <v>496</v>
      </c>
      <c r="B56" s="244" t="s">
        <v>570</v>
      </c>
      <c r="C56" s="245">
        <f>SUM(C57,C58,C59,C60,C61,C66,C73,C74,C75)</f>
        <v>30669.60337668777</v>
      </c>
      <c r="D56" s="246" t="s">
        <v>498</v>
      </c>
      <c r="E56" s="211"/>
    </row>
    <row r="57" spans="1:5" customFormat="1" x14ac:dyDescent="0.25">
      <c r="A57" s="57" t="s">
        <v>347</v>
      </c>
      <c r="B57" s="13" t="s">
        <v>571</v>
      </c>
      <c r="C57" s="247">
        <f>'Forma 7'!VAS007_F_GeriamojoVandensGavybaIlgalaikioIsViso</f>
        <v>0</v>
      </c>
      <c r="D57" s="214" t="s">
        <v>572</v>
      </c>
      <c r="E57" s="211"/>
    </row>
    <row r="58" spans="1:5" customFormat="1" x14ac:dyDescent="0.25">
      <c r="A58" s="57" t="s">
        <v>351</v>
      </c>
      <c r="B58" s="13" t="s">
        <v>573</v>
      </c>
      <c r="C58" s="247">
        <v>0</v>
      </c>
      <c r="D58" s="214" t="s">
        <v>574</v>
      </c>
      <c r="E58" s="211"/>
    </row>
    <row r="59" spans="1:5" customFormat="1" x14ac:dyDescent="0.25">
      <c r="A59" s="57" t="s">
        <v>364</v>
      </c>
      <c r="B59" s="13" t="s">
        <v>575</v>
      </c>
      <c r="C59" s="247">
        <v>0</v>
      </c>
      <c r="D59" s="214" t="s">
        <v>576</v>
      </c>
      <c r="E59" s="211"/>
    </row>
    <row r="60" spans="1:5" customFormat="1" x14ac:dyDescent="0.25">
      <c r="A60" s="57" t="s">
        <v>169</v>
      </c>
      <c r="B60" s="13" t="s">
        <v>577</v>
      </c>
      <c r="C60" s="247">
        <v>0</v>
      </c>
      <c r="D60" s="214" t="s">
        <v>578</v>
      </c>
      <c r="E60" s="211"/>
    </row>
    <row r="61" spans="1:5" customFormat="1" x14ac:dyDescent="0.25">
      <c r="A61" s="57" t="s">
        <v>184</v>
      </c>
      <c r="B61" s="13" t="s">
        <v>579</v>
      </c>
      <c r="C61" s="247">
        <v>0</v>
      </c>
      <c r="D61" s="214" t="s">
        <v>580</v>
      </c>
      <c r="E61" s="211"/>
    </row>
    <row r="62" spans="1:5" customFormat="1" x14ac:dyDescent="0.25">
      <c r="A62" s="57" t="s">
        <v>187</v>
      </c>
      <c r="B62" s="63" t="s">
        <v>581</v>
      </c>
      <c r="C62" s="248">
        <v>0</v>
      </c>
      <c r="D62" s="249"/>
      <c r="E62" s="211"/>
    </row>
    <row r="63" spans="1:5" customFormat="1" x14ac:dyDescent="0.25">
      <c r="A63" s="57" t="s">
        <v>189</v>
      </c>
      <c r="B63" s="63" t="s">
        <v>582</v>
      </c>
      <c r="C63" s="248">
        <v>0</v>
      </c>
      <c r="D63" s="249"/>
      <c r="E63" s="211"/>
    </row>
    <row r="64" spans="1:5" customFormat="1" x14ac:dyDescent="0.25">
      <c r="A64" s="57" t="s">
        <v>336</v>
      </c>
      <c r="B64" s="63" t="s">
        <v>583</v>
      </c>
      <c r="C64" s="248">
        <v>0</v>
      </c>
      <c r="D64" s="249"/>
      <c r="E64" s="211"/>
    </row>
    <row r="65" spans="1:5" customFormat="1" x14ac:dyDescent="0.25">
      <c r="A65" s="57" t="s">
        <v>338</v>
      </c>
      <c r="B65" s="63" t="s">
        <v>584</v>
      </c>
      <c r="C65" s="248">
        <v>0</v>
      </c>
      <c r="D65" s="249"/>
      <c r="E65" s="211"/>
    </row>
    <row r="66" spans="1:5" customFormat="1" x14ac:dyDescent="0.25">
      <c r="A66" s="57" t="s">
        <v>195</v>
      </c>
      <c r="B66" s="13" t="s">
        <v>585</v>
      </c>
      <c r="C66" s="250">
        <f>SUM(C67:C72)</f>
        <v>0</v>
      </c>
      <c r="D66" s="214" t="s">
        <v>586</v>
      </c>
      <c r="E66" s="211"/>
    </row>
    <row r="67" spans="1:5" customFormat="1" x14ac:dyDescent="0.25">
      <c r="A67" s="57" t="s">
        <v>197</v>
      </c>
      <c r="B67" s="63" t="s">
        <v>587</v>
      </c>
      <c r="C67" s="248">
        <v>0</v>
      </c>
      <c r="D67" s="249"/>
      <c r="E67" s="211"/>
    </row>
    <row r="68" spans="1:5" customFormat="1" x14ac:dyDescent="0.25">
      <c r="A68" s="57" t="s">
        <v>199</v>
      </c>
      <c r="B68" s="63" t="s">
        <v>588</v>
      </c>
      <c r="C68" s="248">
        <v>0</v>
      </c>
      <c r="D68" s="249"/>
      <c r="E68" s="211"/>
    </row>
    <row r="69" spans="1:5" customFormat="1" x14ac:dyDescent="0.25">
      <c r="A69" s="57" t="s">
        <v>201</v>
      </c>
      <c r="B69" s="63" t="s">
        <v>589</v>
      </c>
      <c r="C69" s="248">
        <v>0</v>
      </c>
      <c r="D69" s="249"/>
      <c r="E69" s="211"/>
    </row>
    <row r="70" spans="1:5" customFormat="1" x14ac:dyDescent="0.25">
      <c r="A70" s="57" t="s">
        <v>257</v>
      </c>
      <c r="B70" s="63" t="s">
        <v>590</v>
      </c>
      <c r="C70" s="248">
        <v>0</v>
      </c>
      <c r="D70" s="249"/>
      <c r="E70" s="211"/>
    </row>
    <row r="71" spans="1:5" customFormat="1" x14ac:dyDescent="0.25">
      <c r="A71" s="57" t="s">
        <v>455</v>
      </c>
      <c r="B71" s="63" t="s">
        <v>591</v>
      </c>
      <c r="C71" s="248">
        <v>0</v>
      </c>
      <c r="D71" s="249"/>
      <c r="E71" s="211"/>
    </row>
    <row r="72" spans="1:5" customFormat="1" x14ac:dyDescent="0.25">
      <c r="A72" s="57" t="s">
        <v>592</v>
      </c>
      <c r="B72" s="63" t="s">
        <v>593</v>
      </c>
      <c r="C72" s="248">
        <v>0</v>
      </c>
      <c r="D72" s="249"/>
      <c r="E72" s="211"/>
    </row>
    <row r="73" spans="1:5" customFormat="1" x14ac:dyDescent="0.25">
      <c r="A73" s="57" t="s">
        <v>203</v>
      </c>
      <c r="B73" s="13" t="s">
        <v>594</v>
      </c>
      <c r="C73" s="248">
        <f>'Forma 7'!VAS007_F_PavirsiniuNuotekuTvarkymasIlgalaikioIsViso</f>
        <v>30669.60337668777</v>
      </c>
      <c r="D73" s="214" t="s">
        <v>595</v>
      </c>
      <c r="E73" s="211"/>
    </row>
    <row r="74" spans="1:5" customFormat="1" x14ac:dyDescent="0.25">
      <c r="A74" s="147" t="s">
        <v>205</v>
      </c>
      <c r="B74" s="13" t="s">
        <v>596</v>
      </c>
      <c r="C74" s="251">
        <v>0</v>
      </c>
      <c r="D74" s="214" t="s">
        <v>597</v>
      </c>
      <c r="E74" s="211"/>
    </row>
    <row r="75" spans="1:5" customFormat="1" ht="15.75" thickBot="1" x14ac:dyDescent="0.3">
      <c r="A75" s="225" t="s">
        <v>207</v>
      </c>
      <c r="B75" s="252" t="s">
        <v>598</v>
      </c>
      <c r="C75" s="253">
        <v>0</v>
      </c>
      <c r="D75" s="228" t="s">
        <v>599</v>
      </c>
      <c r="E75" s="211"/>
    </row>
    <row r="76" spans="1:5" customFormat="1" ht="15.75" thickTop="1" x14ac:dyDescent="0.25">
      <c r="A76" s="229" t="s">
        <v>546</v>
      </c>
      <c r="B76" s="230" t="s">
        <v>547</v>
      </c>
      <c r="C76" s="254">
        <v>0</v>
      </c>
      <c r="D76" s="255"/>
      <c r="E76" s="211"/>
    </row>
    <row r="77" spans="1:5" customFormat="1" ht="26.25" x14ac:dyDescent="0.25">
      <c r="A77" s="212" t="s">
        <v>548</v>
      </c>
      <c r="B77" s="256" t="s">
        <v>549</v>
      </c>
      <c r="C77" s="257">
        <v>0</v>
      </c>
      <c r="D77" s="249"/>
      <c r="E77" s="211"/>
    </row>
    <row r="78" spans="1:5" customFormat="1" x14ac:dyDescent="0.25">
      <c r="A78" s="212" t="s">
        <v>550</v>
      </c>
      <c r="B78" s="234" t="s">
        <v>551</v>
      </c>
      <c r="C78" s="257">
        <v>0</v>
      </c>
      <c r="D78" s="249"/>
      <c r="E78" s="211"/>
    </row>
    <row r="79" spans="1:5" customFormat="1" x14ac:dyDescent="0.25">
      <c r="A79" s="212" t="s">
        <v>552</v>
      </c>
      <c r="B79" s="39" t="s">
        <v>553</v>
      </c>
      <c r="C79" s="257">
        <v>0</v>
      </c>
      <c r="D79" s="249"/>
      <c r="E79" s="211"/>
    </row>
    <row r="80" spans="1:5" customFormat="1" x14ac:dyDescent="0.25">
      <c r="A80" s="212" t="s">
        <v>554</v>
      </c>
      <c r="B80" s="235" t="s">
        <v>555</v>
      </c>
      <c r="C80" s="257">
        <v>0</v>
      </c>
      <c r="D80" s="249"/>
      <c r="E80" s="211"/>
    </row>
    <row r="81" spans="1:5" customFormat="1" x14ac:dyDescent="0.25">
      <c r="A81" s="238" t="s">
        <v>556</v>
      </c>
      <c r="B81" s="235" t="s">
        <v>557</v>
      </c>
      <c r="C81" s="257">
        <v>0</v>
      </c>
      <c r="D81" s="249"/>
      <c r="E81" s="211"/>
    </row>
    <row r="82" spans="1:5" customFormat="1" x14ac:dyDescent="0.25">
      <c r="A82" s="238" t="s">
        <v>558</v>
      </c>
      <c r="B82" s="39" t="s">
        <v>559</v>
      </c>
      <c r="C82" s="257">
        <f>'Forma 7'!VAS007_F_NereguliuojamamIlgalaikiamTurtuiIsViso</f>
        <v>10989.736523312231</v>
      </c>
      <c r="D82" s="214" t="s">
        <v>560</v>
      </c>
      <c r="E82" s="211"/>
    </row>
    <row r="83" spans="1:5" customFormat="1" x14ac:dyDescent="0.25">
      <c r="A83" s="238" t="s">
        <v>561</v>
      </c>
      <c r="B83" s="234" t="s">
        <v>562</v>
      </c>
      <c r="C83" s="257">
        <v>0</v>
      </c>
      <c r="D83" s="249"/>
      <c r="E83" s="211"/>
    </row>
    <row r="84" spans="1:5" customFormat="1" x14ac:dyDescent="0.25">
      <c r="A84" s="212" t="s">
        <v>563</v>
      </c>
      <c r="B84" s="39" t="s">
        <v>564</v>
      </c>
      <c r="C84" s="257">
        <f>('[1] Bal 18'!$D$52+'[1] Bal 18'!$D$56)/1000</f>
        <v>1670.29955</v>
      </c>
      <c r="D84" s="249"/>
      <c r="E84" s="211"/>
    </row>
    <row r="85" spans="1:5" customFormat="1" ht="15.75" thickBot="1" x14ac:dyDescent="0.3">
      <c r="A85" s="212" t="s">
        <v>565</v>
      </c>
      <c r="B85" s="39" t="s">
        <v>600</v>
      </c>
      <c r="C85" s="258">
        <v>0</v>
      </c>
      <c r="D85" s="259"/>
      <c r="E85" s="211"/>
    </row>
    <row r="86" spans="1:5" customFormat="1" ht="15.75" thickBot="1" x14ac:dyDescent="0.3">
      <c r="A86" s="994" t="s">
        <v>601</v>
      </c>
      <c r="B86" s="995"/>
      <c r="C86" s="995"/>
      <c r="D86" s="996"/>
      <c r="E86" s="211"/>
    </row>
    <row r="87" spans="1:5" customFormat="1" x14ac:dyDescent="0.25">
      <c r="A87" s="243" t="s">
        <v>494</v>
      </c>
      <c r="B87" s="86" t="s">
        <v>602</v>
      </c>
      <c r="C87" s="245">
        <f>SUM(C88,C108:C117)</f>
        <v>23325.31653</v>
      </c>
      <c r="D87" s="246"/>
      <c r="E87" s="216"/>
    </row>
    <row r="88" spans="1:5" customFormat="1" ht="25.5" x14ac:dyDescent="0.25">
      <c r="A88" s="229" t="s">
        <v>496</v>
      </c>
      <c r="B88" s="260" t="s">
        <v>603</v>
      </c>
      <c r="C88" s="261">
        <f>SUM(C89:C93,C98,C105,C106,C107)</f>
        <v>17562.526035367278</v>
      </c>
      <c r="D88" s="232" t="s">
        <v>604</v>
      </c>
      <c r="E88" s="216"/>
    </row>
    <row r="89" spans="1:5" customFormat="1" x14ac:dyDescent="0.25">
      <c r="A89" s="57" t="s">
        <v>347</v>
      </c>
      <c r="B89" s="39" t="s">
        <v>571</v>
      </c>
      <c r="C89" s="262">
        <v>0</v>
      </c>
      <c r="D89" s="214" t="s">
        <v>605</v>
      </c>
      <c r="E89" s="211"/>
    </row>
    <row r="90" spans="1:5" customFormat="1" x14ac:dyDescent="0.25">
      <c r="A90" s="57" t="s">
        <v>351</v>
      </c>
      <c r="B90" s="39" t="s">
        <v>606</v>
      </c>
      <c r="C90" s="262">
        <v>0</v>
      </c>
      <c r="D90" s="214" t="s">
        <v>607</v>
      </c>
      <c r="E90" s="211"/>
    </row>
    <row r="91" spans="1:5" customFormat="1" x14ac:dyDescent="0.25">
      <c r="A91" s="57" t="s">
        <v>364</v>
      </c>
      <c r="B91" s="39" t="s">
        <v>575</v>
      </c>
      <c r="C91" s="262">
        <v>0</v>
      </c>
      <c r="D91" s="214" t="s">
        <v>608</v>
      </c>
      <c r="E91" s="211"/>
    </row>
    <row r="92" spans="1:5" customFormat="1" x14ac:dyDescent="0.25">
      <c r="A92" s="57" t="s">
        <v>169</v>
      </c>
      <c r="B92" s="39" t="s">
        <v>577</v>
      </c>
      <c r="C92" s="262">
        <v>0</v>
      </c>
      <c r="D92" s="214" t="s">
        <v>609</v>
      </c>
      <c r="E92" s="211"/>
    </row>
    <row r="93" spans="1:5" customFormat="1" x14ac:dyDescent="0.25">
      <c r="A93" s="57" t="s">
        <v>184</v>
      </c>
      <c r="B93" s="39" t="s">
        <v>579</v>
      </c>
      <c r="C93" s="262">
        <v>0</v>
      </c>
      <c r="D93" s="214" t="s">
        <v>610</v>
      </c>
      <c r="E93" s="211"/>
    </row>
    <row r="94" spans="1:5" customFormat="1" x14ac:dyDescent="0.25">
      <c r="A94" s="57" t="s">
        <v>187</v>
      </c>
      <c r="B94" s="63" t="s">
        <v>611</v>
      </c>
      <c r="C94" s="263">
        <v>0</v>
      </c>
      <c r="D94" s="264"/>
      <c r="E94" s="265"/>
    </row>
    <row r="95" spans="1:5" customFormat="1" x14ac:dyDescent="0.25">
      <c r="A95" s="57" t="s">
        <v>189</v>
      </c>
      <c r="B95" s="63" t="s">
        <v>612</v>
      </c>
      <c r="C95" s="263">
        <v>0</v>
      </c>
      <c r="D95" s="264"/>
      <c r="E95" s="265"/>
    </row>
    <row r="96" spans="1:5" customFormat="1" x14ac:dyDescent="0.25">
      <c r="A96" s="57" t="s">
        <v>336</v>
      </c>
      <c r="B96" s="63" t="s">
        <v>583</v>
      </c>
      <c r="C96" s="263">
        <v>0</v>
      </c>
      <c r="D96" s="264"/>
      <c r="E96" s="265"/>
    </row>
    <row r="97" spans="1:5" customFormat="1" x14ac:dyDescent="0.25">
      <c r="A97" s="57" t="s">
        <v>338</v>
      </c>
      <c r="B97" s="63" t="s">
        <v>584</v>
      </c>
      <c r="C97" s="263">
        <v>0</v>
      </c>
      <c r="D97" s="264"/>
      <c r="E97" s="265"/>
    </row>
    <row r="98" spans="1:5" customFormat="1" x14ac:dyDescent="0.25">
      <c r="A98" s="57" t="s">
        <v>195</v>
      </c>
      <c r="B98" s="39" t="s">
        <v>585</v>
      </c>
      <c r="C98" s="266">
        <f>SUM(C99:C104)</f>
        <v>0</v>
      </c>
      <c r="D98" s="214" t="s">
        <v>613</v>
      </c>
      <c r="E98" s="211"/>
    </row>
    <row r="99" spans="1:5" customFormat="1" x14ac:dyDescent="0.25">
      <c r="A99" s="57" t="s">
        <v>197</v>
      </c>
      <c r="B99" s="63" t="s">
        <v>587</v>
      </c>
      <c r="C99" s="263">
        <v>0</v>
      </c>
      <c r="D99" s="214"/>
      <c r="E99" s="211"/>
    </row>
    <row r="100" spans="1:5" customFormat="1" x14ac:dyDescent="0.25">
      <c r="A100" s="57" t="s">
        <v>199</v>
      </c>
      <c r="B100" s="63" t="s">
        <v>588</v>
      </c>
      <c r="C100" s="263">
        <v>0</v>
      </c>
      <c r="D100" s="214"/>
      <c r="E100" s="211"/>
    </row>
    <row r="101" spans="1:5" customFormat="1" x14ac:dyDescent="0.25">
      <c r="A101" s="57" t="s">
        <v>201</v>
      </c>
      <c r="B101" s="63" t="s">
        <v>589</v>
      </c>
      <c r="C101" s="263">
        <v>0</v>
      </c>
      <c r="D101" s="214"/>
      <c r="E101" s="211"/>
    </row>
    <row r="102" spans="1:5" customFormat="1" x14ac:dyDescent="0.25">
      <c r="A102" s="57" t="s">
        <v>257</v>
      </c>
      <c r="B102" s="63" t="s">
        <v>590</v>
      </c>
      <c r="C102" s="263">
        <v>0</v>
      </c>
      <c r="D102" s="214"/>
      <c r="E102" s="211"/>
    </row>
    <row r="103" spans="1:5" customFormat="1" x14ac:dyDescent="0.25">
      <c r="A103" s="57" t="s">
        <v>455</v>
      </c>
      <c r="B103" s="63" t="s">
        <v>591</v>
      </c>
      <c r="C103" s="263">
        <v>0</v>
      </c>
      <c r="D103" s="214"/>
      <c r="E103" s="211"/>
    </row>
    <row r="104" spans="1:5" customFormat="1" x14ac:dyDescent="0.25">
      <c r="A104" s="57" t="s">
        <v>592</v>
      </c>
      <c r="B104" s="63" t="s">
        <v>593</v>
      </c>
      <c r="C104" s="263">
        <v>0</v>
      </c>
      <c r="D104" s="214"/>
      <c r="E104" s="211"/>
    </row>
    <row r="105" spans="1:5" customFormat="1" x14ac:dyDescent="0.25">
      <c r="A105" s="57" t="s">
        <v>203</v>
      </c>
      <c r="B105" s="39" t="s">
        <v>594</v>
      </c>
      <c r="C105" s="263">
        <f>'Forma 8'!VAS008_F_PavirsiniuNuotekuTvarkymasPriskirtaIsViso</f>
        <v>17562.526035367278</v>
      </c>
      <c r="D105" s="214" t="s">
        <v>614</v>
      </c>
      <c r="E105" s="211"/>
    </row>
    <row r="106" spans="1:5" customFormat="1" x14ac:dyDescent="0.25">
      <c r="A106" s="147" t="s">
        <v>205</v>
      </c>
      <c r="B106" s="39" t="s">
        <v>596</v>
      </c>
      <c r="C106" s="241">
        <v>0</v>
      </c>
      <c r="D106" s="214" t="s">
        <v>615</v>
      </c>
      <c r="E106" s="211"/>
    </row>
    <row r="107" spans="1:5" customFormat="1" ht="15.75" thickBot="1" x14ac:dyDescent="0.3">
      <c r="A107" s="225" t="s">
        <v>207</v>
      </c>
      <c r="B107" s="267" t="s">
        <v>598</v>
      </c>
      <c r="C107" s="268">
        <v>0</v>
      </c>
      <c r="D107" s="228" t="s">
        <v>616</v>
      </c>
      <c r="E107" s="211"/>
    </row>
    <row r="108" spans="1:5" customFormat="1" ht="15.75" thickTop="1" x14ac:dyDescent="0.25">
      <c r="A108" s="229" t="s">
        <v>546</v>
      </c>
      <c r="B108" s="230" t="s">
        <v>547</v>
      </c>
      <c r="C108" s="269">
        <v>0</v>
      </c>
      <c r="D108" s="232"/>
      <c r="E108" s="211"/>
    </row>
    <row r="109" spans="1:5" customFormat="1" ht="26.25" x14ac:dyDescent="0.25">
      <c r="A109" s="212" t="s">
        <v>548</v>
      </c>
      <c r="B109" s="233" t="s">
        <v>549</v>
      </c>
      <c r="C109" s="270">
        <v>0</v>
      </c>
      <c r="D109" s="242"/>
      <c r="E109" s="211"/>
    </row>
    <row r="110" spans="1:5" customFormat="1" x14ac:dyDescent="0.25">
      <c r="A110" s="212" t="s">
        <v>550</v>
      </c>
      <c r="B110" s="234" t="s">
        <v>551</v>
      </c>
      <c r="C110" s="270">
        <v>0</v>
      </c>
      <c r="D110" s="214"/>
      <c r="E110" s="211"/>
    </row>
    <row r="111" spans="1:5" customFormat="1" x14ac:dyDescent="0.25">
      <c r="A111" s="212" t="s">
        <v>552</v>
      </c>
      <c r="B111" s="39" t="s">
        <v>553</v>
      </c>
      <c r="C111" s="270">
        <v>0</v>
      </c>
      <c r="D111" s="214"/>
      <c r="E111" s="211"/>
    </row>
    <row r="112" spans="1:5" customFormat="1" x14ac:dyDescent="0.25">
      <c r="A112" s="212" t="s">
        <v>554</v>
      </c>
      <c r="B112" s="235" t="s">
        <v>555</v>
      </c>
      <c r="C112" s="270">
        <v>0</v>
      </c>
      <c r="D112" s="214"/>
      <c r="E112" s="211"/>
    </row>
    <row r="113" spans="1:5" customFormat="1" x14ac:dyDescent="0.25">
      <c r="A113" s="238" t="s">
        <v>556</v>
      </c>
      <c r="B113" s="235" t="s">
        <v>617</v>
      </c>
      <c r="C113" s="270">
        <v>0</v>
      </c>
      <c r="D113" s="214"/>
      <c r="E113" s="211"/>
    </row>
    <row r="114" spans="1:5" customFormat="1" x14ac:dyDescent="0.25">
      <c r="A114" s="238" t="s">
        <v>558</v>
      </c>
      <c r="B114" s="39" t="s">
        <v>559</v>
      </c>
      <c r="C114" s="270">
        <f>'Forma 8'!VAS008_F_NereguliuojamamIlgalaikiamTurtuiPriskirtaIsViso</f>
        <v>4092.4909446327215</v>
      </c>
      <c r="D114" s="214" t="s">
        <v>618</v>
      </c>
      <c r="E114" s="211"/>
    </row>
    <row r="115" spans="1:5" customFormat="1" x14ac:dyDescent="0.25">
      <c r="A115" s="212" t="s">
        <v>561</v>
      </c>
      <c r="B115" s="234" t="s">
        <v>562</v>
      </c>
      <c r="C115" s="270">
        <v>0</v>
      </c>
      <c r="D115" s="214"/>
      <c r="E115" s="211"/>
    </row>
    <row r="116" spans="1:5" customFormat="1" x14ac:dyDescent="0.25">
      <c r="A116" s="212" t="s">
        <v>563</v>
      </c>
      <c r="B116" s="39" t="s">
        <v>564</v>
      </c>
      <c r="C116" s="239">
        <f>('[1] Bal 18'!$D$52+'[1] Bal 18'!$D$56)/1000</f>
        <v>1670.29955</v>
      </c>
      <c r="D116" s="214"/>
      <c r="E116" s="211"/>
    </row>
    <row r="117" spans="1:5" customFormat="1" ht="15.75" thickBot="1" x14ac:dyDescent="0.3">
      <c r="A117" s="212" t="s">
        <v>565</v>
      </c>
      <c r="B117" s="39" t="s">
        <v>600</v>
      </c>
      <c r="C117" s="271">
        <v>0</v>
      </c>
      <c r="D117" s="272"/>
      <c r="E117" s="211"/>
    </row>
    <row r="118" spans="1:5" customFormat="1" ht="15.75" thickBot="1" x14ac:dyDescent="0.3">
      <c r="A118" s="986" t="s">
        <v>619</v>
      </c>
      <c r="B118" s="987"/>
      <c r="C118" s="987"/>
      <c r="D118" s="988"/>
      <c r="E118" s="211"/>
    </row>
    <row r="119" spans="1:5" customFormat="1" ht="25.5" x14ac:dyDescent="0.25">
      <c r="A119" s="243" t="s">
        <v>347</v>
      </c>
      <c r="B119" s="273" t="s">
        <v>620</v>
      </c>
      <c r="C119" s="245">
        <f>SUM(C120:C124,C136,C142,C149)</f>
        <v>698.19467690476256</v>
      </c>
      <c r="D119" s="246"/>
      <c r="E119" s="216"/>
    </row>
    <row r="120" spans="1:5" customFormat="1" x14ac:dyDescent="0.25">
      <c r="A120" s="57" t="s">
        <v>351</v>
      </c>
      <c r="B120" s="39" t="s">
        <v>621</v>
      </c>
      <c r="C120" s="262">
        <f>'[1]320'!$K$12/1000+'Forma 13'!VAS013_F_BendrosioseSanaudoseNusidevejimo20M</f>
        <v>9.391306775048383</v>
      </c>
      <c r="D120" s="214"/>
      <c r="E120" s="211"/>
    </row>
    <row r="121" spans="1:5" customFormat="1" x14ac:dyDescent="0.25">
      <c r="A121" s="57" t="s">
        <v>364</v>
      </c>
      <c r="B121" s="39" t="s">
        <v>622</v>
      </c>
      <c r="C121" s="262">
        <f>('[1]320'!$K$28+'[1]320'!$K$116)/1000</f>
        <v>88.748822285714283</v>
      </c>
      <c r="D121" s="214"/>
      <c r="E121" s="211"/>
    </row>
    <row r="122" spans="1:5" customFormat="1" x14ac:dyDescent="0.25">
      <c r="A122" s="57" t="s">
        <v>169</v>
      </c>
      <c r="B122" s="39" t="s">
        <v>623</v>
      </c>
      <c r="C122" s="262">
        <v>0</v>
      </c>
      <c r="D122" s="214"/>
      <c r="E122" s="211"/>
    </row>
    <row r="123" spans="1:5" customFormat="1" x14ac:dyDescent="0.25">
      <c r="A123" s="57" t="s">
        <v>184</v>
      </c>
      <c r="B123" s="39" t="s">
        <v>624</v>
      </c>
      <c r="C123" s="262">
        <f>'[1]320'!$K$91/1000</f>
        <v>515.98258399999997</v>
      </c>
      <c r="D123" s="214"/>
      <c r="E123" s="211"/>
    </row>
    <row r="124" spans="1:5" customFormat="1" x14ac:dyDescent="0.25">
      <c r="A124" s="57" t="s">
        <v>195</v>
      </c>
      <c r="B124" s="39" t="s">
        <v>625</v>
      </c>
      <c r="C124" s="213">
        <f>SUM(C125,C132,C135)</f>
        <v>4.2928419999999994</v>
      </c>
      <c r="D124" s="214"/>
      <c r="E124" s="211"/>
    </row>
    <row r="125" spans="1:5" customFormat="1" x14ac:dyDescent="0.25">
      <c r="A125" s="57" t="s">
        <v>197</v>
      </c>
      <c r="B125" s="31" t="s">
        <v>626</v>
      </c>
      <c r="C125" s="223">
        <f>SUM(C126:C131)</f>
        <v>0</v>
      </c>
      <c r="D125" s="214"/>
      <c r="E125" s="211"/>
    </row>
    <row r="126" spans="1:5" customFormat="1" x14ac:dyDescent="0.25">
      <c r="A126" s="79" t="s">
        <v>508</v>
      </c>
      <c r="B126" s="65" t="s">
        <v>509</v>
      </c>
      <c r="C126" s="274">
        <v>0</v>
      </c>
      <c r="D126" s="214"/>
      <c r="E126" s="211"/>
    </row>
    <row r="127" spans="1:5" customFormat="1" x14ac:dyDescent="0.25">
      <c r="A127" s="79" t="s">
        <v>510</v>
      </c>
      <c r="B127" s="65" t="s">
        <v>511</v>
      </c>
      <c r="C127" s="274">
        <v>0</v>
      </c>
      <c r="D127" s="214"/>
      <c r="E127" s="211"/>
    </row>
    <row r="128" spans="1:5" customFormat="1" x14ac:dyDescent="0.25">
      <c r="A128" s="79" t="s">
        <v>512</v>
      </c>
      <c r="B128" s="65" t="s">
        <v>513</v>
      </c>
      <c r="C128" s="274">
        <v>0</v>
      </c>
      <c r="D128" s="214"/>
      <c r="E128" s="211"/>
    </row>
    <row r="129" spans="1:5" customFormat="1" x14ac:dyDescent="0.25">
      <c r="A129" s="79" t="s">
        <v>514</v>
      </c>
      <c r="B129" s="65" t="s">
        <v>515</v>
      </c>
      <c r="C129" s="274">
        <v>0</v>
      </c>
      <c r="D129" s="214"/>
      <c r="E129" s="211"/>
    </row>
    <row r="130" spans="1:5" customFormat="1" x14ac:dyDescent="0.25">
      <c r="A130" s="79" t="s">
        <v>516</v>
      </c>
      <c r="B130" s="65" t="s">
        <v>517</v>
      </c>
      <c r="C130" s="274">
        <v>0</v>
      </c>
      <c r="D130" s="214"/>
      <c r="E130" s="211"/>
    </row>
    <row r="131" spans="1:5" customFormat="1" x14ac:dyDescent="0.25">
      <c r="A131" s="79" t="s">
        <v>518</v>
      </c>
      <c r="B131" s="65" t="s">
        <v>627</v>
      </c>
      <c r="C131" s="274">
        <v>0</v>
      </c>
      <c r="D131" s="214"/>
      <c r="E131" s="211"/>
    </row>
    <row r="132" spans="1:5" customFormat="1" x14ac:dyDescent="0.25">
      <c r="A132" s="57" t="s">
        <v>199</v>
      </c>
      <c r="B132" s="13" t="s">
        <v>628</v>
      </c>
      <c r="C132" s="223">
        <f>SUM(C133,C134)</f>
        <v>0</v>
      </c>
      <c r="D132" s="214"/>
      <c r="E132" s="211"/>
    </row>
    <row r="133" spans="1:5" customFormat="1" x14ac:dyDescent="0.25">
      <c r="A133" s="79" t="s">
        <v>521</v>
      </c>
      <c r="B133" s="65" t="s">
        <v>522</v>
      </c>
      <c r="C133" s="274">
        <v>0</v>
      </c>
      <c r="D133" s="214"/>
      <c r="E133" s="211"/>
    </row>
    <row r="134" spans="1:5" customFormat="1" x14ac:dyDescent="0.25">
      <c r="A134" s="79" t="s">
        <v>523</v>
      </c>
      <c r="B134" s="65" t="s">
        <v>517</v>
      </c>
      <c r="C134" s="274">
        <v>0</v>
      </c>
      <c r="D134" s="214"/>
      <c r="E134" s="211"/>
    </row>
    <row r="135" spans="1:5" customFormat="1" x14ac:dyDescent="0.25">
      <c r="A135" s="57" t="s">
        <v>201</v>
      </c>
      <c r="B135" s="13" t="s">
        <v>524</v>
      </c>
      <c r="C135" s="224">
        <f>'[1]320'!$K$109/1000</f>
        <v>4.2928419999999994</v>
      </c>
      <c r="D135" s="214"/>
      <c r="E135" s="216"/>
    </row>
    <row r="136" spans="1:5" customFormat="1" x14ac:dyDescent="0.25">
      <c r="A136" s="57" t="s">
        <v>203</v>
      </c>
      <c r="B136" s="39" t="s">
        <v>629</v>
      </c>
      <c r="C136" s="213">
        <f>SUM(C137:C141)</f>
        <v>72.595103843999993</v>
      </c>
      <c r="D136" s="221"/>
      <c r="E136" s="222"/>
    </row>
    <row r="137" spans="1:5" customFormat="1" x14ac:dyDescent="0.25">
      <c r="A137" s="57" t="s">
        <v>260</v>
      </c>
      <c r="B137" s="13" t="s">
        <v>630</v>
      </c>
      <c r="C137" s="275">
        <v>0</v>
      </c>
      <c r="D137" s="221"/>
      <c r="E137" s="222"/>
    </row>
    <row r="138" spans="1:5" customFormat="1" x14ac:dyDescent="0.25">
      <c r="A138" s="57" t="s">
        <v>261</v>
      </c>
      <c r="B138" s="13" t="s">
        <v>631</v>
      </c>
      <c r="C138" s="275">
        <v>0</v>
      </c>
      <c r="D138" s="221"/>
      <c r="E138" s="222"/>
    </row>
    <row r="139" spans="1:5" customFormat="1" x14ac:dyDescent="0.25">
      <c r="A139" s="57" t="s">
        <v>262</v>
      </c>
      <c r="B139" s="13" t="s">
        <v>632</v>
      </c>
      <c r="C139" s="275">
        <v>0</v>
      </c>
      <c r="D139" s="221"/>
      <c r="E139" s="222"/>
    </row>
    <row r="140" spans="1:5" customFormat="1" x14ac:dyDescent="0.25">
      <c r="A140" s="57" t="s">
        <v>460</v>
      </c>
      <c r="B140" s="13" t="s">
        <v>633</v>
      </c>
      <c r="C140" s="275">
        <v>0</v>
      </c>
      <c r="D140" s="214"/>
      <c r="E140" s="216"/>
    </row>
    <row r="141" spans="1:5" customFormat="1" x14ac:dyDescent="0.25">
      <c r="A141" s="57" t="s">
        <v>462</v>
      </c>
      <c r="B141" s="13" t="s">
        <v>634</v>
      </c>
      <c r="C141" s="275">
        <f>'Forma 13'!VAS013_F_NetiesiogineseSanaudoseNusidevejimo20M</f>
        <v>72.595103843999993</v>
      </c>
      <c r="D141" s="221"/>
      <c r="E141" s="222"/>
    </row>
    <row r="142" spans="1:5" customFormat="1" x14ac:dyDescent="0.25">
      <c r="A142" s="57" t="s">
        <v>205</v>
      </c>
      <c r="B142" s="39" t="s">
        <v>532</v>
      </c>
      <c r="C142" s="213">
        <f>SUM(C143,C148)</f>
        <v>7.184018</v>
      </c>
      <c r="D142" s="221"/>
      <c r="E142" s="222"/>
    </row>
    <row r="143" spans="1:5" customFormat="1" x14ac:dyDescent="0.25">
      <c r="A143" s="57" t="s">
        <v>265</v>
      </c>
      <c r="B143" s="31" t="s">
        <v>635</v>
      </c>
      <c r="C143" s="223">
        <f>SUM(C144:C147)</f>
        <v>0</v>
      </c>
      <c r="D143" s="221"/>
      <c r="E143" s="222"/>
    </row>
    <row r="144" spans="1:5" customFormat="1" x14ac:dyDescent="0.25">
      <c r="A144" s="79" t="s">
        <v>535</v>
      </c>
      <c r="B144" s="65" t="s">
        <v>636</v>
      </c>
      <c r="C144" s="276">
        <v>0</v>
      </c>
      <c r="D144" s="214"/>
      <c r="E144" s="211"/>
    </row>
    <row r="145" spans="1:5" customFormat="1" x14ac:dyDescent="0.25">
      <c r="A145" s="79" t="s">
        <v>537</v>
      </c>
      <c r="B145" s="65" t="s">
        <v>637</v>
      </c>
      <c r="C145" s="276">
        <v>0</v>
      </c>
      <c r="D145" s="214"/>
      <c r="E145" s="211"/>
    </row>
    <row r="146" spans="1:5" customFormat="1" x14ac:dyDescent="0.25">
      <c r="A146" s="79" t="s">
        <v>539</v>
      </c>
      <c r="B146" s="65" t="s">
        <v>638</v>
      </c>
      <c r="C146" s="276">
        <v>0</v>
      </c>
      <c r="D146" s="214"/>
      <c r="E146" s="211"/>
    </row>
    <row r="147" spans="1:5" customFormat="1" x14ac:dyDescent="0.25">
      <c r="A147" s="79" t="s">
        <v>541</v>
      </c>
      <c r="B147" s="65" t="s">
        <v>639</v>
      </c>
      <c r="C147" s="276">
        <v>0</v>
      </c>
      <c r="D147" s="214"/>
      <c r="E147" s="211"/>
    </row>
    <row r="148" spans="1:5" customFormat="1" x14ac:dyDescent="0.25">
      <c r="A148" s="57" t="s">
        <v>268</v>
      </c>
      <c r="B148" s="277" t="s">
        <v>640</v>
      </c>
      <c r="C148" s="262">
        <f>('[1]320'!$K$136+'[1]320'!$K$139+'[1]320'!$K$155)/1000</f>
        <v>7.184018</v>
      </c>
      <c r="D148" s="214"/>
      <c r="E148" s="211"/>
    </row>
    <row r="149" spans="1:5" customFormat="1" x14ac:dyDescent="0.25">
      <c r="A149" s="57" t="s">
        <v>207</v>
      </c>
      <c r="B149" s="13" t="s">
        <v>641</v>
      </c>
      <c r="C149" s="276">
        <v>0</v>
      </c>
      <c r="D149" s="214"/>
      <c r="E149" s="211"/>
    </row>
    <row r="150" spans="1:5" customFormat="1" ht="15.75" thickBot="1" x14ac:dyDescent="0.3">
      <c r="A150" s="104" t="s">
        <v>225</v>
      </c>
      <c r="B150" s="105" t="s">
        <v>642</v>
      </c>
      <c r="C150" s="278">
        <v>0</v>
      </c>
      <c r="D150" s="279" t="s">
        <v>643</v>
      </c>
      <c r="E150" s="211"/>
    </row>
    <row r="151" spans="1:5" customFormat="1" x14ac:dyDescent="0.25">
      <c r="A151" s="206"/>
      <c r="B151" s="206"/>
      <c r="C151" s="206"/>
      <c r="D151" s="206"/>
      <c r="E151" s="206"/>
    </row>
    <row r="152" spans="1:5" customFormat="1" x14ac:dyDescent="0.25">
      <c r="A152" s="206"/>
      <c r="B152" s="206"/>
      <c r="C152" s="206"/>
      <c r="D152" s="206"/>
      <c r="E152" s="206"/>
    </row>
  </sheetData>
  <sheetProtection algorithmName="SHA-512" hashValue="ogOmRAG5o66Fmhgw3cxBlNlM1/6GBJUua4Ilz+dJvFFTXF/Rvl3WZR4Q7XFaxDFWqgpJ56Zqz+XOv3o95zFHhg==" saltValue="is9eyzvzQIBpb448q+zB0T0Bi4V/vod8YbjG/ukUpGNaEBlQ1/EItbjGrI1X9DaA5IWJllqel/gJHA0tdLARXg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rintOptions horizontalCentered="1"/>
  <pageMargins left="0.39370078740157483" right="0.19685039370078741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0"/>
  <sheetViews>
    <sheetView topLeftCell="A7" workbookViewId="0">
      <selection activeCell="B20" sqref="B20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2"/>
    </row>
    <row r="2" spans="1:21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2"/>
    </row>
    <row r="3" spans="1:21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5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66" t="s">
        <v>644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8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280" t="s">
        <v>645</v>
      </c>
      <c r="E8" s="1024" t="s">
        <v>646</v>
      </c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</row>
    <row r="9" spans="1:21" x14ac:dyDescent="0.25">
      <c r="A9" s="1026" t="s">
        <v>4</v>
      </c>
      <c r="B9" s="281" t="s">
        <v>647</v>
      </c>
      <c r="C9" s="1029" t="s">
        <v>648</v>
      </c>
      <c r="D9" s="1030"/>
      <c r="E9" s="1030"/>
      <c r="F9" s="1031"/>
      <c r="G9" s="1016" t="s">
        <v>649</v>
      </c>
      <c r="H9" s="1017"/>
      <c r="I9" s="1016" t="s">
        <v>37</v>
      </c>
      <c r="J9" s="1017"/>
      <c r="K9" s="1016" t="s">
        <v>39</v>
      </c>
      <c r="L9" s="1017"/>
      <c r="M9" s="1016" t="s">
        <v>532</v>
      </c>
      <c r="N9" s="1017"/>
      <c r="O9" s="1016" t="s">
        <v>544</v>
      </c>
      <c r="P9" s="1017"/>
      <c r="Q9" s="1022" t="s">
        <v>27</v>
      </c>
      <c r="R9" s="1017"/>
      <c r="S9" s="1014" t="s">
        <v>650</v>
      </c>
      <c r="U9" s="7"/>
    </row>
    <row r="10" spans="1:21" ht="24" customHeight="1" x14ac:dyDescent="0.25">
      <c r="A10" s="1027"/>
      <c r="B10" s="282"/>
      <c r="C10" s="1025" t="s">
        <v>651</v>
      </c>
      <c r="D10" s="1025"/>
      <c r="E10" s="1025" t="s">
        <v>31</v>
      </c>
      <c r="F10" s="1025"/>
      <c r="G10" s="1018"/>
      <c r="H10" s="1019"/>
      <c r="I10" s="1018"/>
      <c r="J10" s="1019"/>
      <c r="K10" s="1018"/>
      <c r="L10" s="1019"/>
      <c r="M10" s="1018"/>
      <c r="N10" s="1019"/>
      <c r="O10" s="1020"/>
      <c r="P10" s="1021"/>
      <c r="Q10" s="1023"/>
      <c r="R10" s="1021"/>
      <c r="S10" s="1015"/>
      <c r="U10" s="7"/>
    </row>
    <row r="11" spans="1:21" ht="26.25" customHeight="1" thickBot="1" x14ac:dyDescent="0.3">
      <c r="A11" s="1028"/>
      <c r="B11" s="283" t="s">
        <v>652</v>
      </c>
      <c r="C11" s="284" t="s">
        <v>186</v>
      </c>
      <c r="D11" s="284" t="s">
        <v>645</v>
      </c>
      <c r="E11" s="284" t="s">
        <v>186</v>
      </c>
      <c r="F11" s="284" t="s">
        <v>645</v>
      </c>
      <c r="G11" s="284" t="s">
        <v>653</v>
      </c>
      <c r="H11" s="284" t="s">
        <v>653</v>
      </c>
      <c r="I11" s="284" t="s">
        <v>186</v>
      </c>
      <c r="J11" s="284" t="s">
        <v>645</v>
      </c>
      <c r="K11" s="284" t="s">
        <v>186</v>
      </c>
      <c r="L11" s="284" t="s">
        <v>645</v>
      </c>
      <c r="M11" s="284" t="s">
        <v>186</v>
      </c>
      <c r="N11" s="284" t="s">
        <v>645</v>
      </c>
      <c r="O11" s="284" t="s">
        <v>186</v>
      </c>
      <c r="P11" s="284" t="s">
        <v>645</v>
      </c>
      <c r="Q11" s="284" t="s">
        <v>186</v>
      </c>
      <c r="R11" s="284" t="s">
        <v>645</v>
      </c>
      <c r="S11" s="285" t="s">
        <v>645</v>
      </c>
      <c r="U11" s="7"/>
    </row>
    <row r="12" spans="1:21" ht="15.75" thickBot="1" x14ac:dyDescent="0.3">
      <c r="A12" s="286">
        <v>1</v>
      </c>
      <c r="B12" s="287">
        <v>2</v>
      </c>
      <c r="C12" s="287">
        <v>3</v>
      </c>
      <c r="D12" s="288">
        <v>4</v>
      </c>
      <c r="E12" s="288">
        <v>5</v>
      </c>
      <c r="F12" s="288">
        <v>6</v>
      </c>
      <c r="G12" s="288">
        <v>7</v>
      </c>
      <c r="H12" s="289">
        <v>8</v>
      </c>
      <c r="I12" s="289">
        <v>9</v>
      </c>
      <c r="J12" s="289">
        <v>10</v>
      </c>
      <c r="K12" s="289">
        <v>11</v>
      </c>
      <c r="L12" s="289">
        <v>12</v>
      </c>
      <c r="M12" s="289">
        <v>13</v>
      </c>
      <c r="N12" s="287">
        <v>14</v>
      </c>
      <c r="O12" s="287">
        <v>15</v>
      </c>
      <c r="P12" s="289">
        <v>16</v>
      </c>
      <c r="Q12" s="290">
        <v>17</v>
      </c>
      <c r="R12" s="290">
        <v>18</v>
      </c>
      <c r="S12" s="291">
        <v>19</v>
      </c>
      <c r="U12" s="7"/>
    </row>
    <row r="13" spans="1:21" ht="29.25" thickBot="1" x14ac:dyDescent="0.3">
      <c r="A13" s="292" t="s">
        <v>347</v>
      </c>
      <c r="B13" s="293" t="s">
        <v>654</v>
      </c>
      <c r="C13" s="294" t="s">
        <v>653</v>
      </c>
      <c r="D13" s="295">
        <f>SUM(D14,D24)</f>
        <v>851.44392000000005</v>
      </c>
      <c r="E13" s="296" t="s">
        <v>653</v>
      </c>
      <c r="F13" s="295">
        <f>SUM(F14,F24)</f>
        <v>3258.1207600000002</v>
      </c>
      <c r="G13" s="297" t="s">
        <v>653</v>
      </c>
      <c r="H13" s="295">
        <f>SUM(H14,H24)</f>
        <v>25799.129199999999</v>
      </c>
      <c r="I13" s="298" t="s">
        <v>653</v>
      </c>
      <c r="J13" s="295">
        <f>SUM(J14,J24)</f>
        <v>220.93905000000001</v>
      </c>
      <c r="K13" s="298" t="s">
        <v>653</v>
      </c>
      <c r="L13" s="295">
        <f>SUM(L14,L24)</f>
        <v>0</v>
      </c>
      <c r="M13" s="298" t="s">
        <v>653</v>
      </c>
      <c r="N13" s="295">
        <f>SUM(N14,N24)</f>
        <v>155.99950000000001</v>
      </c>
      <c r="O13" s="297" t="s">
        <v>653</v>
      </c>
      <c r="P13" s="295">
        <f>SUM(P14,P24)</f>
        <v>0</v>
      </c>
      <c r="Q13" s="299" t="s">
        <v>653</v>
      </c>
      <c r="R13" s="295">
        <f>SUM(R14,R24)</f>
        <v>0</v>
      </c>
      <c r="S13" s="300">
        <f>SUM(D13,F13,H13,J13,L13,N13,P13,R13)</f>
        <v>30285.632430000001</v>
      </c>
      <c r="U13" s="7"/>
    </row>
    <row r="14" spans="1:21" ht="26.25" thickTop="1" x14ac:dyDescent="0.25">
      <c r="A14" s="229" t="s">
        <v>285</v>
      </c>
      <c r="B14" s="301" t="s">
        <v>655</v>
      </c>
      <c r="C14" s="302" t="s">
        <v>653</v>
      </c>
      <c r="D14" s="303">
        <f>SUM(D15:D23)</f>
        <v>70.377660000000006</v>
      </c>
      <c r="E14" s="302" t="s">
        <v>653</v>
      </c>
      <c r="F14" s="303">
        <f>SUM(F15:F23)</f>
        <v>3106.2087800000004</v>
      </c>
      <c r="G14" s="304" t="s">
        <v>653</v>
      </c>
      <c r="H14" s="303">
        <f>SUM(H18,H19,H22)</f>
        <v>25799.129199999999</v>
      </c>
      <c r="I14" s="304" t="s">
        <v>653</v>
      </c>
      <c r="J14" s="303">
        <f>SUM(J15:J23)</f>
        <v>69.276020000000003</v>
      </c>
      <c r="K14" s="304" t="s">
        <v>653</v>
      </c>
      <c r="L14" s="305">
        <f>SUM(L15,L16,L17,L18,L19,L20,L21,L22,L23)</f>
        <v>0</v>
      </c>
      <c r="M14" s="304" t="s">
        <v>653</v>
      </c>
      <c r="N14" s="303">
        <f>SUM(N15:N23)</f>
        <v>41.972809999999996</v>
      </c>
      <c r="O14" s="304" t="s">
        <v>653</v>
      </c>
      <c r="P14" s="303">
        <f>SUM(P15:P23)</f>
        <v>0</v>
      </c>
      <c r="Q14" s="304" t="s">
        <v>653</v>
      </c>
      <c r="R14" s="303">
        <f>SUM(R15:R23)</f>
        <v>0</v>
      </c>
      <c r="S14" s="306">
        <f>SUM(D14,F14,H14,J14,L14,N14,P14,R14)</f>
        <v>29086.964469999999</v>
      </c>
    </row>
    <row r="15" spans="1:21" x14ac:dyDescent="0.25">
      <c r="A15" s="307" t="s">
        <v>287</v>
      </c>
      <c r="B15" s="277" t="s">
        <v>598</v>
      </c>
      <c r="C15" s="116" t="s">
        <v>653</v>
      </c>
      <c r="D15" s="308">
        <v>0</v>
      </c>
      <c r="E15" s="116" t="s">
        <v>653</v>
      </c>
      <c r="F15" s="308">
        <v>0</v>
      </c>
      <c r="G15" s="309" t="s">
        <v>653</v>
      </c>
      <c r="H15" s="310" t="s">
        <v>653</v>
      </c>
      <c r="I15" s="309" t="s">
        <v>653</v>
      </c>
      <c r="J15" s="311">
        <v>0</v>
      </c>
      <c r="K15" s="309" t="s">
        <v>653</v>
      </c>
      <c r="L15" s="311">
        <v>0</v>
      </c>
      <c r="M15" s="309" t="s">
        <v>653</v>
      </c>
      <c r="N15" s="312">
        <v>0</v>
      </c>
      <c r="O15" s="309" t="s">
        <v>653</v>
      </c>
      <c r="P15" s="311">
        <v>0</v>
      </c>
      <c r="Q15" s="309" t="s">
        <v>653</v>
      </c>
      <c r="R15" s="311">
        <v>0</v>
      </c>
      <c r="S15" s="313">
        <f>SUM(D15,F15,J15,L15,N15,P15,R15)</f>
        <v>0</v>
      </c>
    </row>
    <row r="16" spans="1:21" x14ac:dyDescent="0.25">
      <c r="A16" s="307" t="s">
        <v>289</v>
      </c>
      <c r="B16" s="277" t="s">
        <v>656</v>
      </c>
      <c r="C16" s="314" t="s">
        <v>653</v>
      </c>
      <c r="D16" s="315">
        <v>0</v>
      </c>
      <c r="E16" s="314" t="s">
        <v>653</v>
      </c>
      <c r="F16" s="315">
        <v>0</v>
      </c>
      <c r="G16" s="316" t="s">
        <v>653</v>
      </c>
      <c r="H16" s="317" t="s">
        <v>653</v>
      </c>
      <c r="I16" s="316" t="s">
        <v>653</v>
      </c>
      <c r="J16" s="318">
        <v>0</v>
      </c>
      <c r="K16" s="316" t="s">
        <v>653</v>
      </c>
      <c r="L16" s="311">
        <v>0</v>
      </c>
      <c r="M16" s="316" t="s">
        <v>653</v>
      </c>
      <c r="N16" s="312">
        <v>0</v>
      </c>
      <c r="O16" s="316" t="s">
        <v>653</v>
      </c>
      <c r="P16" s="311">
        <v>0</v>
      </c>
      <c r="Q16" s="316" t="s">
        <v>653</v>
      </c>
      <c r="R16" s="311">
        <v>0</v>
      </c>
      <c r="S16" s="313">
        <f>SUM(D16,F16,J16,L16,N16,P16,R16)</f>
        <v>0</v>
      </c>
    </row>
    <row r="17" spans="1:19" x14ac:dyDescent="0.25">
      <c r="A17" s="307" t="s">
        <v>291</v>
      </c>
      <c r="B17" s="277" t="s">
        <v>606</v>
      </c>
      <c r="C17" s="314" t="s">
        <v>653</v>
      </c>
      <c r="D17" s="315">
        <v>0</v>
      </c>
      <c r="E17" s="314" t="s">
        <v>653</v>
      </c>
      <c r="F17" s="315">
        <v>0</v>
      </c>
      <c r="G17" s="316" t="s">
        <v>653</v>
      </c>
      <c r="H17" s="317" t="s">
        <v>653</v>
      </c>
      <c r="I17" s="316" t="s">
        <v>653</v>
      </c>
      <c r="J17" s="318">
        <v>0</v>
      </c>
      <c r="K17" s="316" t="s">
        <v>653</v>
      </c>
      <c r="L17" s="311">
        <v>0</v>
      </c>
      <c r="M17" s="316" t="s">
        <v>653</v>
      </c>
      <c r="N17" s="312">
        <v>0</v>
      </c>
      <c r="O17" s="316" t="s">
        <v>653</v>
      </c>
      <c r="P17" s="311">
        <v>0</v>
      </c>
      <c r="Q17" s="316" t="s">
        <v>653</v>
      </c>
      <c r="R17" s="311">
        <v>0</v>
      </c>
      <c r="S17" s="313">
        <f>SUM(D17,F17,J17,L17,N17,P17,R17)</f>
        <v>0</v>
      </c>
    </row>
    <row r="18" spans="1:19" x14ac:dyDescent="0.25">
      <c r="A18" s="307" t="s">
        <v>657</v>
      </c>
      <c r="B18" s="277" t="s">
        <v>575</v>
      </c>
      <c r="C18" s="314" t="s">
        <v>653</v>
      </c>
      <c r="D18" s="315">
        <v>0</v>
      </c>
      <c r="E18" s="314" t="s">
        <v>653</v>
      </c>
      <c r="F18" s="315">
        <v>0</v>
      </c>
      <c r="G18" s="316" t="s">
        <v>653</v>
      </c>
      <c r="H18" s="318">
        <v>0</v>
      </c>
      <c r="I18" s="316" t="s">
        <v>653</v>
      </c>
      <c r="J18" s="318">
        <v>0</v>
      </c>
      <c r="K18" s="316" t="s">
        <v>653</v>
      </c>
      <c r="L18" s="318">
        <v>0</v>
      </c>
      <c r="M18" s="316" t="s">
        <v>653</v>
      </c>
      <c r="N18" s="312">
        <v>0</v>
      </c>
      <c r="O18" s="316" t="s">
        <v>653</v>
      </c>
      <c r="P18" s="311">
        <v>0</v>
      </c>
      <c r="Q18" s="316" t="s">
        <v>653</v>
      </c>
      <c r="R18" s="311">
        <v>0</v>
      </c>
      <c r="S18" s="313">
        <f>SUM(D18,F18,J18,L18,N18,P18,R18,H18)</f>
        <v>0</v>
      </c>
    </row>
    <row r="19" spans="1:19" x14ac:dyDescent="0.25">
      <c r="A19" s="307" t="s">
        <v>658</v>
      </c>
      <c r="B19" s="277" t="s">
        <v>659</v>
      </c>
      <c r="C19" s="314" t="s">
        <v>653</v>
      </c>
      <c r="D19" s="315">
        <v>0</v>
      </c>
      <c r="E19" s="314" t="s">
        <v>653</v>
      </c>
      <c r="F19" s="315">
        <v>0</v>
      </c>
      <c r="G19" s="316" t="s">
        <v>653</v>
      </c>
      <c r="H19" s="318">
        <v>0</v>
      </c>
      <c r="I19" s="316" t="s">
        <v>653</v>
      </c>
      <c r="J19" s="318">
        <v>0</v>
      </c>
      <c r="K19" s="316" t="s">
        <v>653</v>
      </c>
      <c r="L19" s="318">
        <v>0</v>
      </c>
      <c r="M19" s="316" t="s">
        <v>653</v>
      </c>
      <c r="N19" s="312">
        <v>0</v>
      </c>
      <c r="O19" s="316" t="s">
        <v>653</v>
      </c>
      <c r="P19" s="311">
        <v>0</v>
      </c>
      <c r="Q19" s="316" t="s">
        <v>653</v>
      </c>
      <c r="R19" s="311">
        <v>0</v>
      </c>
      <c r="S19" s="313">
        <f>SUM(D19,F19,J19,L19,N19,P19,R19,H19)</f>
        <v>0</v>
      </c>
    </row>
    <row r="20" spans="1:19" x14ac:dyDescent="0.25">
      <c r="A20" s="307" t="s">
        <v>660</v>
      </c>
      <c r="B20" s="277" t="s">
        <v>579</v>
      </c>
      <c r="C20" s="314" t="s">
        <v>653</v>
      </c>
      <c r="D20" s="315">
        <v>0</v>
      </c>
      <c r="E20" s="314" t="s">
        <v>653</v>
      </c>
      <c r="F20" s="315">
        <v>0</v>
      </c>
      <c r="G20" s="316" t="s">
        <v>653</v>
      </c>
      <c r="H20" s="317" t="s">
        <v>653</v>
      </c>
      <c r="I20" s="316" t="s">
        <v>653</v>
      </c>
      <c r="J20" s="318">
        <v>0</v>
      </c>
      <c r="K20" s="316" t="s">
        <v>653</v>
      </c>
      <c r="L20" s="311">
        <v>0</v>
      </c>
      <c r="M20" s="316" t="s">
        <v>653</v>
      </c>
      <c r="N20" s="312">
        <v>0</v>
      </c>
      <c r="O20" s="316" t="s">
        <v>653</v>
      </c>
      <c r="P20" s="311">
        <v>0</v>
      </c>
      <c r="Q20" s="316" t="s">
        <v>653</v>
      </c>
      <c r="R20" s="311">
        <v>0</v>
      </c>
      <c r="S20" s="313">
        <f>SUM(D20,F20,J20,L20,N20,P20,R20)</f>
        <v>0</v>
      </c>
    </row>
    <row r="21" spans="1:19" x14ac:dyDescent="0.25">
      <c r="A21" s="307" t="s">
        <v>661</v>
      </c>
      <c r="B21" s="277" t="s">
        <v>585</v>
      </c>
      <c r="C21" s="314" t="s">
        <v>653</v>
      </c>
      <c r="D21" s="315">
        <v>0</v>
      </c>
      <c r="E21" s="314" t="s">
        <v>653</v>
      </c>
      <c r="F21" s="315">
        <v>0</v>
      </c>
      <c r="G21" s="316" t="s">
        <v>653</v>
      </c>
      <c r="H21" s="317" t="s">
        <v>653</v>
      </c>
      <c r="I21" s="316" t="s">
        <v>653</v>
      </c>
      <c r="J21" s="318">
        <v>0</v>
      </c>
      <c r="K21" s="316" t="s">
        <v>653</v>
      </c>
      <c r="L21" s="318">
        <v>0</v>
      </c>
      <c r="M21" s="316" t="s">
        <v>653</v>
      </c>
      <c r="N21" s="312">
        <v>0</v>
      </c>
      <c r="O21" s="316" t="s">
        <v>653</v>
      </c>
      <c r="P21" s="311">
        <v>0</v>
      </c>
      <c r="Q21" s="316" t="s">
        <v>653</v>
      </c>
      <c r="R21" s="311">
        <v>0</v>
      </c>
      <c r="S21" s="313">
        <f>SUM(D21,F21,J21,L21,N21,P21,R21)</f>
        <v>0</v>
      </c>
    </row>
    <row r="22" spans="1:19" x14ac:dyDescent="0.25">
      <c r="A22" s="307" t="s">
        <v>662</v>
      </c>
      <c r="B22" s="277" t="s">
        <v>663</v>
      </c>
      <c r="C22" s="319" t="s">
        <v>653</v>
      </c>
      <c r="D22" s="320">
        <f>'[1] Bal 18'!$G$21/1000</f>
        <v>70.377660000000006</v>
      </c>
      <c r="E22" s="319" t="s">
        <v>653</v>
      </c>
      <c r="F22" s="320">
        <f>'[1] Bal 18'!$G$22/1000</f>
        <v>3106.2087800000004</v>
      </c>
      <c r="G22" s="321" t="s">
        <v>653</v>
      </c>
      <c r="H22" s="322">
        <f>'[1] Bal 18'!$G$29/1000</f>
        <v>25799.129199999999</v>
      </c>
      <c r="I22" s="321" t="s">
        <v>653</v>
      </c>
      <c r="J22" s="322">
        <f>'[1] Bal 18'!$G$31/1000</f>
        <v>69.276020000000003</v>
      </c>
      <c r="K22" s="321" t="s">
        <v>653</v>
      </c>
      <c r="L22" s="322">
        <f>'[1] Bal 18'!$G$38/1000</f>
        <v>0</v>
      </c>
      <c r="M22" s="321" t="s">
        <v>653</v>
      </c>
      <c r="N22" s="312">
        <f>('[1] Bal 18'!$G$41+'[1] Bal 18'!$G$46)/1000</f>
        <v>41.972809999999996</v>
      </c>
      <c r="O22" s="321" t="s">
        <v>653</v>
      </c>
      <c r="P22" s="311">
        <v>0</v>
      </c>
      <c r="Q22" s="321" t="s">
        <v>653</v>
      </c>
      <c r="R22" s="311">
        <v>0</v>
      </c>
      <c r="S22" s="313">
        <f>SUM(D22,F22,J22,L22,N22,P22,R22,H22)</f>
        <v>29086.964469999999</v>
      </c>
    </row>
    <row r="23" spans="1:19" ht="15.75" thickBot="1" x14ac:dyDescent="0.3">
      <c r="A23" s="323" t="s">
        <v>664</v>
      </c>
      <c r="B23" s="324" t="s">
        <v>596</v>
      </c>
      <c r="C23" s="325" t="s">
        <v>653</v>
      </c>
      <c r="D23" s="326">
        <v>0</v>
      </c>
      <c r="E23" s="325" t="s">
        <v>653</v>
      </c>
      <c r="F23" s="326">
        <v>0</v>
      </c>
      <c r="G23" s="327" t="s">
        <v>653</v>
      </c>
      <c r="H23" s="328" t="s">
        <v>653</v>
      </c>
      <c r="I23" s="327" t="s">
        <v>653</v>
      </c>
      <c r="J23" s="329">
        <v>0</v>
      </c>
      <c r="K23" s="327" t="s">
        <v>653</v>
      </c>
      <c r="L23" s="329">
        <v>0</v>
      </c>
      <c r="M23" s="327" t="s">
        <v>653</v>
      </c>
      <c r="N23" s="330">
        <v>0</v>
      </c>
      <c r="O23" s="327" t="s">
        <v>653</v>
      </c>
      <c r="P23" s="331">
        <v>0</v>
      </c>
      <c r="Q23" s="327" t="s">
        <v>653</v>
      </c>
      <c r="R23" s="331">
        <v>0</v>
      </c>
      <c r="S23" s="332">
        <f>SUM(D23,F23,J23,L23,N23,P23,R23)</f>
        <v>0</v>
      </c>
    </row>
    <row r="24" spans="1:19" ht="26.25" thickTop="1" x14ac:dyDescent="0.25">
      <c r="A24" s="229" t="s">
        <v>295</v>
      </c>
      <c r="B24" s="333" t="s">
        <v>665</v>
      </c>
      <c r="C24" s="334" t="s">
        <v>653</v>
      </c>
      <c r="D24" s="335">
        <f>SUM(D25,D26)</f>
        <v>781.06626000000006</v>
      </c>
      <c r="E24" s="334" t="s">
        <v>653</v>
      </c>
      <c r="F24" s="335">
        <f>SUM(F25,F26)</f>
        <v>151.91197999999997</v>
      </c>
      <c r="G24" s="230" t="s">
        <v>653</v>
      </c>
      <c r="H24" s="335">
        <f>SUM(H25,H26)</f>
        <v>0</v>
      </c>
      <c r="I24" s="230" t="s">
        <v>653</v>
      </c>
      <c r="J24" s="335">
        <f>SUM(J25,J26)</f>
        <v>151.66302999999999</v>
      </c>
      <c r="K24" s="230" t="s">
        <v>653</v>
      </c>
      <c r="L24" s="335">
        <f>SUM(L25,L26)</f>
        <v>0</v>
      </c>
      <c r="M24" s="230" t="s">
        <v>653</v>
      </c>
      <c r="N24" s="335">
        <f>SUM(N25,N26)</f>
        <v>114.02669</v>
      </c>
      <c r="O24" s="230" t="s">
        <v>653</v>
      </c>
      <c r="P24" s="335">
        <f>SUM(P25,P26)</f>
        <v>0</v>
      </c>
      <c r="Q24" s="230" t="s">
        <v>653</v>
      </c>
      <c r="R24" s="335">
        <f>SUM(R25,R26)</f>
        <v>0</v>
      </c>
      <c r="S24" s="336">
        <f>SUM(D24,F24,H24,J24,L24,N24,P24,R24)</f>
        <v>1198.66796</v>
      </c>
    </row>
    <row r="25" spans="1:19" x14ac:dyDescent="0.25">
      <c r="A25" s="307" t="s">
        <v>666</v>
      </c>
      <c r="B25" s="277" t="s">
        <v>667</v>
      </c>
      <c r="C25" s="116" t="s">
        <v>653</v>
      </c>
      <c r="D25" s="337">
        <v>0</v>
      </c>
      <c r="E25" s="116" t="s">
        <v>653</v>
      </c>
      <c r="F25" s="337">
        <v>0</v>
      </c>
      <c r="G25" s="13" t="s">
        <v>653</v>
      </c>
      <c r="H25" s="338">
        <v>0</v>
      </c>
      <c r="I25" s="13" t="s">
        <v>653</v>
      </c>
      <c r="J25" s="338">
        <v>0</v>
      </c>
      <c r="K25" s="13" t="s">
        <v>653</v>
      </c>
      <c r="L25" s="338">
        <v>0</v>
      </c>
      <c r="M25" s="13" t="s">
        <v>653</v>
      </c>
      <c r="N25" s="339">
        <v>0</v>
      </c>
      <c r="O25" s="13" t="s">
        <v>653</v>
      </c>
      <c r="P25" s="338">
        <v>0</v>
      </c>
      <c r="Q25" s="13" t="s">
        <v>653</v>
      </c>
      <c r="R25" s="340">
        <v>0</v>
      </c>
      <c r="S25" s="341">
        <f>SUM(D25,F25,H25,J25,L25,N25,P25,R25)</f>
        <v>0</v>
      </c>
    </row>
    <row r="26" spans="1:19" ht="15.75" thickBot="1" x14ac:dyDescent="0.3">
      <c r="A26" s="323" t="s">
        <v>668</v>
      </c>
      <c r="B26" s="324" t="s">
        <v>669</v>
      </c>
      <c r="C26" s="325" t="s">
        <v>653</v>
      </c>
      <c r="D26" s="342">
        <f>'[1] Bal 18'!$I$21/1000</f>
        <v>781.06626000000006</v>
      </c>
      <c r="E26" s="325" t="s">
        <v>653</v>
      </c>
      <c r="F26" s="342">
        <f>'[1] Bal 18'!$I$22/1000</f>
        <v>151.91197999999997</v>
      </c>
      <c r="G26" s="343" t="s">
        <v>653</v>
      </c>
      <c r="H26" s="344">
        <v>0</v>
      </c>
      <c r="I26" s="343" t="s">
        <v>653</v>
      </c>
      <c r="J26" s="344">
        <f>'[1] Bal 18'!$I$31/1000</f>
        <v>151.66302999999999</v>
      </c>
      <c r="K26" s="343" t="s">
        <v>653</v>
      </c>
      <c r="L26" s="344">
        <f>'[1] Bal 18'!$I$38/1000</f>
        <v>0</v>
      </c>
      <c r="M26" s="343" t="s">
        <v>653</v>
      </c>
      <c r="N26" s="345">
        <f>('[1] Bal 18'!$I$41+'[1] Bal 18'!$I$46)/1000</f>
        <v>114.02669</v>
      </c>
      <c r="O26" s="343" t="s">
        <v>653</v>
      </c>
      <c r="P26" s="346">
        <v>0</v>
      </c>
      <c r="Q26" s="343" t="s">
        <v>653</v>
      </c>
      <c r="R26" s="346">
        <v>0</v>
      </c>
      <c r="S26" s="341">
        <f>SUM(D26,F26,H26,J26,L26,N26,P26,R26)</f>
        <v>1198.66796</v>
      </c>
    </row>
    <row r="27" spans="1:19" ht="33.75" customHeight="1" thickTop="1" thickBot="1" x14ac:dyDescent="0.3">
      <c r="A27" s="347" t="s">
        <v>351</v>
      </c>
      <c r="B27" s="348" t="s">
        <v>670</v>
      </c>
      <c r="C27" s="349">
        <f>SUM(C30:C38,C40,C41)</f>
        <v>100</v>
      </c>
      <c r="D27" s="350">
        <f>'[1] Bal 18'!$K$21/1000</f>
        <v>1685.0868799999998</v>
      </c>
      <c r="E27" s="349">
        <f>SUM(E30:E38,E40,E41)</f>
        <v>100</v>
      </c>
      <c r="F27" s="350">
        <f>'[1] Bal 18'!$K$22/1000</f>
        <v>1886.56305</v>
      </c>
      <c r="G27" s="351" t="s">
        <v>653</v>
      </c>
      <c r="H27" s="352" t="s">
        <v>653</v>
      </c>
      <c r="I27" s="351">
        <f>SUM(I30:I38,I40,I41)</f>
        <v>100</v>
      </c>
      <c r="J27" s="353">
        <f>'[1] Bal 18'!$K$31/1000</f>
        <v>1727.4339299999999</v>
      </c>
      <c r="K27" s="351">
        <f>SUM(K30:K38,K40,K41)</f>
        <v>100</v>
      </c>
      <c r="L27" s="353">
        <f>'[1] Bal 18'!$K$38/1000</f>
        <v>4396.9572500000004</v>
      </c>
      <c r="M27" s="354">
        <f>SUM(M30:M38,M40,M41)</f>
        <v>100</v>
      </c>
      <c r="N27" s="350">
        <f>('[1] Bal 18'!$K$41+'[1] Bal 18'!$K$46)/1000</f>
        <v>213.68105</v>
      </c>
      <c r="O27" s="351">
        <f>SUM(O30:O38,O40,O41)</f>
        <v>100</v>
      </c>
      <c r="P27" s="353">
        <f>'[1] Bal 18'!$K$10/1000</f>
        <v>93.160930000000008</v>
      </c>
      <c r="Q27" s="351">
        <f>SUM(Q30:Q38,Q40,Q41)</f>
        <v>100</v>
      </c>
      <c r="R27" s="353">
        <v>0</v>
      </c>
      <c r="S27" s="355">
        <f>SUM(D27,F27,J27,L27,N27,P27,R27)</f>
        <v>10002.883089999999</v>
      </c>
    </row>
    <row r="28" spans="1:19" ht="30" customHeight="1" thickTop="1" x14ac:dyDescent="0.25">
      <c r="A28" s="1009" t="s">
        <v>671</v>
      </c>
      <c r="B28" s="1010"/>
      <c r="C28" s="1007" t="s">
        <v>672</v>
      </c>
      <c r="D28" s="1008"/>
      <c r="E28" s="1007" t="s">
        <v>672</v>
      </c>
      <c r="F28" s="1008"/>
      <c r="G28" s="356" t="s">
        <v>653</v>
      </c>
      <c r="H28" s="356" t="s">
        <v>653</v>
      </c>
      <c r="I28" s="1007" t="s">
        <v>672</v>
      </c>
      <c r="J28" s="1008"/>
      <c r="K28" s="1007" t="s">
        <v>672</v>
      </c>
      <c r="L28" s="1008"/>
      <c r="M28" s="1007" t="s">
        <v>672</v>
      </c>
      <c r="N28" s="1008"/>
      <c r="O28" s="1007" t="s">
        <v>672</v>
      </c>
      <c r="P28" s="1008"/>
      <c r="Q28" s="1007" t="s">
        <v>672</v>
      </c>
      <c r="R28" s="1008"/>
      <c r="S28" s="357" t="s">
        <v>653</v>
      </c>
    </row>
    <row r="29" spans="1:19" ht="25.5" x14ac:dyDescent="0.25">
      <c r="A29" s="358" t="s">
        <v>300</v>
      </c>
      <c r="B29" s="359" t="s">
        <v>673</v>
      </c>
      <c r="C29" s="360">
        <f t="shared" ref="C29:F29" si="0">SUM(C30:C38)</f>
        <v>13.106</v>
      </c>
      <c r="D29" s="361">
        <f t="shared" si="0"/>
        <v>220.84748649279999</v>
      </c>
      <c r="E29" s="360">
        <f t="shared" si="0"/>
        <v>13.106</v>
      </c>
      <c r="F29" s="361">
        <f t="shared" si="0"/>
        <v>247.25295333299999</v>
      </c>
      <c r="G29" s="362" t="s">
        <v>653</v>
      </c>
      <c r="H29" s="362" t="s">
        <v>653</v>
      </c>
      <c r="I29" s="363">
        <f t="shared" ref="I29:R29" si="1">SUM(I30:I38)</f>
        <v>13.106</v>
      </c>
      <c r="J29" s="361">
        <f t="shared" si="1"/>
        <v>226.39749086579999</v>
      </c>
      <c r="K29" s="363">
        <f t="shared" si="1"/>
        <v>13.106</v>
      </c>
      <c r="L29" s="361">
        <f t="shared" si="1"/>
        <v>576.2652171850001</v>
      </c>
      <c r="M29" s="363">
        <f t="shared" si="1"/>
        <v>13.106</v>
      </c>
      <c r="N29" s="361">
        <f t="shared" si="1"/>
        <v>28.005038412999998</v>
      </c>
      <c r="O29" s="363">
        <f t="shared" si="1"/>
        <v>13.106</v>
      </c>
      <c r="P29" s="361">
        <f t="shared" si="1"/>
        <v>12.209671485800001</v>
      </c>
      <c r="Q29" s="363">
        <f t="shared" si="1"/>
        <v>13.106</v>
      </c>
      <c r="R29" s="361">
        <f t="shared" si="1"/>
        <v>0</v>
      </c>
      <c r="S29" s="364">
        <f>SUM(S30:S38)</f>
        <v>1310.9778577754003</v>
      </c>
    </row>
    <row r="30" spans="1:19" x14ac:dyDescent="0.25">
      <c r="A30" s="307" t="s">
        <v>302</v>
      </c>
      <c r="B30" s="277" t="s">
        <v>598</v>
      </c>
      <c r="C30" s="365">
        <v>0</v>
      </c>
      <c r="D30" s="366">
        <f>$D$27*C30/100</f>
        <v>0</v>
      </c>
      <c r="E30" s="367">
        <v>0</v>
      </c>
      <c r="F30" s="366">
        <f>$F$27*E30/100</f>
        <v>0</v>
      </c>
      <c r="G30" s="368" t="s">
        <v>653</v>
      </c>
      <c r="H30" s="368" t="s">
        <v>653</v>
      </c>
      <c r="I30" s="369">
        <v>0</v>
      </c>
      <c r="J30" s="366">
        <f>$J$27*I30/100</f>
        <v>0</v>
      </c>
      <c r="K30" s="370">
        <v>0</v>
      </c>
      <c r="L30" s="366">
        <f>$L$27*K30/100</f>
        <v>0</v>
      </c>
      <c r="M30" s="371">
        <v>0</v>
      </c>
      <c r="N30" s="366">
        <f>$N$27*M30/100</f>
        <v>0</v>
      </c>
      <c r="O30" s="371">
        <v>0</v>
      </c>
      <c r="P30" s="366">
        <f>$P$27*O30/100</f>
        <v>0</v>
      </c>
      <c r="Q30" s="372">
        <v>0</v>
      </c>
      <c r="R30" s="366">
        <f>$R$27*Q30/100</f>
        <v>0</v>
      </c>
      <c r="S30" s="373">
        <f>SUM(D30,F30,J30,L30,N30,P30,R30)</f>
        <v>0</v>
      </c>
    </row>
    <row r="31" spans="1:19" x14ac:dyDescent="0.25">
      <c r="A31" s="307" t="s">
        <v>306</v>
      </c>
      <c r="B31" s="277" t="s">
        <v>656</v>
      </c>
      <c r="C31" s="365">
        <v>0</v>
      </c>
      <c r="D31" s="366">
        <f t="shared" ref="D31:D38" si="2">$D$27*C31/100</f>
        <v>0</v>
      </c>
      <c r="E31" s="367">
        <v>0</v>
      </c>
      <c r="F31" s="366">
        <f t="shared" ref="F31:F38" si="3">$F$27*E31/100</f>
        <v>0</v>
      </c>
      <c r="G31" s="368" t="s">
        <v>653</v>
      </c>
      <c r="H31" s="368" t="s">
        <v>653</v>
      </c>
      <c r="I31" s="369">
        <v>0</v>
      </c>
      <c r="J31" s="366">
        <f t="shared" ref="J31:J41" si="4">$J$27*I31/100</f>
        <v>0</v>
      </c>
      <c r="K31" s="370">
        <v>0</v>
      </c>
      <c r="L31" s="366">
        <f t="shared" ref="L31:L41" si="5">$L$27*K31/100</f>
        <v>0</v>
      </c>
      <c r="M31" s="371">
        <v>0</v>
      </c>
      <c r="N31" s="366">
        <f t="shared" ref="N31:N38" si="6">$N$27*M31/100</f>
        <v>0</v>
      </c>
      <c r="O31" s="371">
        <v>0</v>
      </c>
      <c r="P31" s="366">
        <f t="shared" ref="P31:P41" si="7">$P$27*O31/100</f>
        <v>0</v>
      </c>
      <c r="Q31" s="372">
        <v>0</v>
      </c>
      <c r="R31" s="366">
        <f t="shared" ref="R31:R41" si="8">$R$27*Q31/100</f>
        <v>0</v>
      </c>
      <c r="S31" s="373">
        <f t="shared" ref="S31:S38" si="9">SUM(D31,F31,J31,L31,N31,P31,R31)</f>
        <v>0</v>
      </c>
    </row>
    <row r="32" spans="1:19" x14ac:dyDescent="0.25">
      <c r="A32" s="307" t="s">
        <v>674</v>
      </c>
      <c r="B32" s="277" t="s">
        <v>606</v>
      </c>
      <c r="C32" s="365">
        <v>0</v>
      </c>
      <c r="D32" s="366">
        <f t="shared" si="2"/>
        <v>0</v>
      </c>
      <c r="E32" s="367">
        <v>0</v>
      </c>
      <c r="F32" s="366">
        <f t="shared" si="3"/>
        <v>0</v>
      </c>
      <c r="G32" s="368" t="s">
        <v>653</v>
      </c>
      <c r="H32" s="368" t="s">
        <v>653</v>
      </c>
      <c r="I32" s="369">
        <v>0</v>
      </c>
      <c r="J32" s="366">
        <f t="shared" si="4"/>
        <v>0</v>
      </c>
      <c r="K32" s="370">
        <v>0</v>
      </c>
      <c r="L32" s="366">
        <f t="shared" si="5"/>
        <v>0</v>
      </c>
      <c r="M32" s="371">
        <v>0</v>
      </c>
      <c r="N32" s="366">
        <f t="shared" si="6"/>
        <v>0</v>
      </c>
      <c r="O32" s="371">
        <v>0</v>
      </c>
      <c r="P32" s="366">
        <f t="shared" si="7"/>
        <v>0</v>
      </c>
      <c r="Q32" s="372">
        <v>0</v>
      </c>
      <c r="R32" s="366">
        <f t="shared" si="8"/>
        <v>0</v>
      </c>
      <c r="S32" s="373">
        <f t="shared" si="9"/>
        <v>0</v>
      </c>
    </row>
    <row r="33" spans="1:19" x14ac:dyDescent="0.25">
      <c r="A33" s="307" t="s">
        <v>675</v>
      </c>
      <c r="B33" s="277" t="s">
        <v>575</v>
      </c>
      <c r="C33" s="365">
        <v>0</v>
      </c>
      <c r="D33" s="366">
        <f t="shared" si="2"/>
        <v>0</v>
      </c>
      <c r="E33" s="367">
        <v>0</v>
      </c>
      <c r="F33" s="366">
        <f t="shared" si="3"/>
        <v>0</v>
      </c>
      <c r="G33" s="368" t="s">
        <v>653</v>
      </c>
      <c r="H33" s="368" t="s">
        <v>653</v>
      </c>
      <c r="I33" s="369">
        <v>0</v>
      </c>
      <c r="J33" s="366">
        <f t="shared" si="4"/>
        <v>0</v>
      </c>
      <c r="K33" s="370">
        <v>0</v>
      </c>
      <c r="L33" s="366">
        <f t="shared" si="5"/>
        <v>0</v>
      </c>
      <c r="M33" s="371">
        <v>0</v>
      </c>
      <c r="N33" s="366">
        <f t="shared" si="6"/>
        <v>0</v>
      </c>
      <c r="O33" s="371">
        <v>0</v>
      </c>
      <c r="P33" s="366">
        <f t="shared" si="7"/>
        <v>0</v>
      </c>
      <c r="Q33" s="372">
        <v>0</v>
      </c>
      <c r="R33" s="366">
        <f t="shared" si="8"/>
        <v>0</v>
      </c>
      <c r="S33" s="373">
        <f t="shared" si="9"/>
        <v>0</v>
      </c>
    </row>
    <row r="34" spans="1:19" x14ac:dyDescent="0.25">
      <c r="A34" s="307" t="s">
        <v>676</v>
      </c>
      <c r="B34" s="277" t="s">
        <v>659</v>
      </c>
      <c r="C34" s="365">
        <v>0</v>
      </c>
      <c r="D34" s="366">
        <f t="shared" si="2"/>
        <v>0</v>
      </c>
      <c r="E34" s="367">
        <v>0</v>
      </c>
      <c r="F34" s="366">
        <f t="shared" si="3"/>
        <v>0</v>
      </c>
      <c r="G34" s="368" t="s">
        <v>653</v>
      </c>
      <c r="H34" s="368" t="s">
        <v>653</v>
      </c>
      <c r="I34" s="369">
        <v>0</v>
      </c>
      <c r="J34" s="366">
        <f t="shared" si="4"/>
        <v>0</v>
      </c>
      <c r="K34" s="370">
        <v>0</v>
      </c>
      <c r="L34" s="366">
        <f t="shared" si="5"/>
        <v>0</v>
      </c>
      <c r="M34" s="371">
        <v>0</v>
      </c>
      <c r="N34" s="366">
        <f t="shared" si="6"/>
        <v>0</v>
      </c>
      <c r="O34" s="371">
        <v>0</v>
      </c>
      <c r="P34" s="366">
        <f t="shared" si="7"/>
        <v>0</v>
      </c>
      <c r="Q34" s="372">
        <v>0</v>
      </c>
      <c r="R34" s="366">
        <f t="shared" si="8"/>
        <v>0</v>
      </c>
      <c r="S34" s="373">
        <f t="shared" si="9"/>
        <v>0</v>
      </c>
    </row>
    <row r="35" spans="1:19" x14ac:dyDescent="0.25">
      <c r="A35" s="307" t="s">
        <v>677</v>
      </c>
      <c r="B35" s="277" t="s">
        <v>579</v>
      </c>
      <c r="C35" s="365">
        <v>0</v>
      </c>
      <c r="D35" s="366">
        <f t="shared" si="2"/>
        <v>0</v>
      </c>
      <c r="E35" s="367">
        <v>0</v>
      </c>
      <c r="F35" s="366">
        <f t="shared" si="3"/>
        <v>0</v>
      </c>
      <c r="G35" s="368" t="s">
        <v>653</v>
      </c>
      <c r="H35" s="368" t="s">
        <v>653</v>
      </c>
      <c r="I35" s="369">
        <v>0</v>
      </c>
      <c r="J35" s="366">
        <f t="shared" si="4"/>
        <v>0</v>
      </c>
      <c r="K35" s="370">
        <v>0</v>
      </c>
      <c r="L35" s="366">
        <f t="shared" si="5"/>
        <v>0</v>
      </c>
      <c r="M35" s="371">
        <v>0</v>
      </c>
      <c r="N35" s="366">
        <f t="shared" si="6"/>
        <v>0</v>
      </c>
      <c r="O35" s="371">
        <v>0</v>
      </c>
      <c r="P35" s="366">
        <f t="shared" si="7"/>
        <v>0</v>
      </c>
      <c r="Q35" s="372">
        <v>0</v>
      </c>
      <c r="R35" s="366">
        <f t="shared" si="8"/>
        <v>0</v>
      </c>
      <c r="S35" s="373">
        <f t="shared" si="9"/>
        <v>0</v>
      </c>
    </row>
    <row r="36" spans="1:19" x14ac:dyDescent="0.25">
      <c r="A36" s="307" t="s">
        <v>678</v>
      </c>
      <c r="B36" s="277" t="s">
        <v>585</v>
      </c>
      <c r="C36" s="365">
        <v>0</v>
      </c>
      <c r="D36" s="366">
        <f t="shared" si="2"/>
        <v>0</v>
      </c>
      <c r="E36" s="367">
        <v>0</v>
      </c>
      <c r="F36" s="366">
        <f t="shared" si="3"/>
        <v>0</v>
      </c>
      <c r="G36" s="368" t="s">
        <v>653</v>
      </c>
      <c r="H36" s="368" t="s">
        <v>653</v>
      </c>
      <c r="I36" s="369">
        <v>0</v>
      </c>
      <c r="J36" s="366">
        <f t="shared" si="4"/>
        <v>0</v>
      </c>
      <c r="K36" s="370">
        <v>0</v>
      </c>
      <c r="L36" s="366">
        <f t="shared" si="5"/>
        <v>0</v>
      </c>
      <c r="M36" s="371">
        <v>0</v>
      </c>
      <c r="N36" s="366">
        <f t="shared" si="6"/>
        <v>0</v>
      </c>
      <c r="O36" s="371">
        <v>0</v>
      </c>
      <c r="P36" s="366">
        <f t="shared" si="7"/>
        <v>0</v>
      </c>
      <c r="Q36" s="372">
        <v>0</v>
      </c>
      <c r="R36" s="366">
        <f t="shared" si="8"/>
        <v>0</v>
      </c>
      <c r="S36" s="373">
        <f t="shared" si="9"/>
        <v>0</v>
      </c>
    </row>
    <row r="37" spans="1:19" x14ac:dyDescent="0.25">
      <c r="A37" s="307" t="s">
        <v>679</v>
      </c>
      <c r="B37" s="277" t="s">
        <v>663</v>
      </c>
      <c r="C37" s="365">
        <f>'Forma 8'!VAS008_F_PavirsiniuNuotekuTvarkymasNetiesioginesProcPastatai</f>
        <v>13.106</v>
      </c>
      <c r="D37" s="366">
        <f t="shared" si="2"/>
        <v>220.84748649279999</v>
      </c>
      <c r="E37" s="367">
        <f>'Forma 8'!VAS008_F_PavirsiniuNuotekuTvarkymasNetiesioginesProcPastatai</f>
        <v>13.106</v>
      </c>
      <c r="F37" s="366">
        <f t="shared" si="3"/>
        <v>247.25295333299999</v>
      </c>
      <c r="G37" s="368" t="s">
        <v>653</v>
      </c>
      <c r="H37" s="368" t="s">
        <v>653</v>
      </c>
      <c r="I37" s="369">
        <f>'Forma 8'!VAS008_F_PavirsiniuNuotekuTvarkymasNetiesioginesProcPastatai</f>
        <v>13.106</v>
      </c>
      <c r="J37" s="366">
        <f t="shared" si="4"/>
        <v>226.39749086579999</v>
      </c>
      <c r="K37" s="370">
        <f>'Forma 8'!VAS008_F_PavirsiniuNuotekuTvarkymasNetiesioginesProcPastatai</f>
        <v>13.106</v>
      </c>
      <c r="L37" s="366">
        <f t="shared" si="5"/>
        <v>576.2652171850001</v>
      </c>
      <c r="M37" s="371">
        <f>'Forma 8'!VAS008_F_PavirsiniuNuotekuTvarkymasNetiesioginesProcPastatai</f>
        <v>13.106</v>
      </c>
      <c r="N37" s="366">
        <f t="shared" si="6"/>
        <v>28.005038412999998</v>
      </c>
      <c r="O37" s="371">
        <f>'Forma 8'!VAS008_F_PavirsiniuNuotekuTvarkymasNetiesioginesProcPastatai</f>
        <v>13.106</v>
      </c>
      <c r="P37" s="366">
        <f t="shared" si="7"/>
        <v>12.209671485800001</v>
      </c>
      <c r="Q37" s="372">
        <f>'Forma 8'!VAS008_F_PavirsiniuNuotekuTvarkymasNetiesioginesProcPastatai</f>
        <v>13.106</v>
      </c>
      <c r="R37" s="366">
        <f t="shared" si="8"/>
        <v>0</v>
      </c>
      <c r="S37" s="373">
        <f t="shared" si="9"/>
        <v>1310.9778577754003</v>
      </c>
    </row>
    <row r="38" spans="1:19" ht="15.75" thickBot="1" x14ac:dyDescent="0.3">
      <c r="A38" s="323" t="s">
        <v>680</v>
      </c>
      <c r="B38" s="324" t="s">
        <v>596</v>
      </c>
      <c r="C38" s="374">
        <v>0</v>
      </c>
      <c r="D38" s="375">
        <f t="shared" si="2"/>
        <v>0</v>
      </c>
      <c r="E38" s="376">
        <v>0</v>
      </c>
      <c r="F38" s="375">
        <f t="shared" si="3"/>
        <v>0</v>
      </c>
      <c r="G38" s="377" t="s">
        <v>653</v>
      </c>
      <c r="H38" s="377" t="s">
        <v>653</v>
      </c>
      <c r="I38" s="378">
        <v>0</v>
      </c>
      <c r="J38" s="375">
        <f t="shared" si="4"/>
        <v>0</v>
      </c>
      <c r="K38" s="379">
        <v>0</v>
      </c>
      <c r="L38" s="375">
        <f t="shared" si="5"/>
        <v>0</v>
      </c>
      <c r="M38" s="380">
        <v>0</v>
      </c>
      <c r="N38" s="375">
        <f t="shared" si="6"/>
        <v>0</v>
      </c>
      <c r="O38" s="380">
        <v>0</v>
      </c>
      <c r="P38" s="375">
        <f t="shared" si="7"/>
        <v>0</v>
      </c>
      <c r="Q38" s="381">
        <v>0</v>
      </c>
      <c r="R38" s="375">
        <f t="shared" si="8"/>
        <v>0</v>
      </c>
      <c r="S38" s="373">
        <f t="shared" si="9"/>
        <v>0</v>
      </c>
    </row>
    <row r="39" spans="1:19" ht="26.25" thickTop="1" x14ac:dyDescent="0.25">
      <c r="A39" s="229" t="s">
        <v>354</v>
      </c>
      <c r="B39" s="333" t="s">
        <v>681</v>
      </c>
      <c r="C39" s="382">
        <f t="shared" ref="C39:E39" si="10">SUM(C40,C41)</f>
        <v>86.894000000000005</v>
      </c>
      <c r="D39" s="383">
        <f t="shared" si="10"/>
        <v>1464.2393935072</v>
      </c>
      <c r="E39" s="382">
        <f t="shared" si="10"/>
        <v>86.894000000000005</v>
      </c>
      <c r="F39" s="383">
        <f>SUM(F40,F41)</f>
        <v>1639.3100966669999</v>
      </c>
      <c r="G39" s="384" t="s">
        <v>653</v>
      </c>
      <c r="H39" s="384" t="s">
        <v>653</v>
      </c>
      <c r="I39" s="385">
        <f t="shared" ref="I39:R39" si="11">SUM(I40,I41)</f>
        <v>86.894000000000005</v>
      </c>
      <c r="J39" s="383">
        <f t="shared" si="11"/>
        <v>1501.0364391342</v>
      </c>
      <c r="K39" s="385">
        <f t="shared" si="11"/>
        <v>86.894000000000005</v>
      </c>
      <c r="L39" s="383">
        <f t="shared" si="11"/>
        <v>3820.6920328150009</v>
      </c>
      <c r="M39" s="385">
        <f t="shared" si="11"/>
        <v>86.894000000000005</v>
      </c>
      <c r="N39" s="383">
        <f t="shared" si="11"/>
        <v>185.676011587</v>
      </c>
      <c r="O39" s="385">
        <f t="shared" si="11"/>
        <v>86.894000000000005</v>
      </c>
      <c r="P39" s="383">
        <f t="shared" si="11"/>
        <v>80.951258514200006</v>
      </c>
      <c r="Q39" s="385">
        <f t="shared" si="11"/>
        <v>86.894000000000005</v>
      </c>
      <c r="R39" s="383">
        <f t="shared" si="11"/>
        <v>0</v>
      </c>
      <c r="S39" s="386">
        <f>SUM(S40,S41)</f>
        <v>8691.9052322246007</v>
      </c>
    </row>
    <row r="40" spans="1:19" x14ac:dyDescent="0.25">
      <c r="A40" s="307" t="s">
        <v>387</v>
      </c>
      <c r="B40" s="277" t="s">
        <v>667</v>
      </c>
      <c r="C40" s="365">
        <v>0</v>
      </c>
      <c r="D40" s="366">
        <f>$D$27*C40/100</f>
        <v>0</v>
      </c>
      <c r="E40" s="367">
        <v>0</v>
      </c>
      <c r="F40" s="366">
        <f>$F$27*E40/100</f>
        <v>0</v>
      </c>
      <c r="G40" s="368" t="s">
        <v>653</v>
      </c>
      <c r="H40" s="368" t="s">
        <v>653</v>
      </c>
      <c r="I40" s="369">
        <v>0</v>
      </c>
      <c r="J40" s="366">
        <f t="shared" si="4"/>
        <v>0</v>
      </c>
      <c r="K40" s="370">
        <v>0</v>
      </c>
      <c r="L40" s="366">
        <f t="shared" si="5"/>
        <v>0</v>
      </c>
      <c r="M40" s="371">
        <v>0</v>
      </c>
      <c r="N40" s="366">
        <f>$N$27*M40/100</f>
        <v>0</v>
      </c>
      <c r="O40" s="371">
        <v>0</v>
      </c>
      <c r="P40" s="366">
        <f t="shared" si="7"/>
        <v>0</v>
      </c>
      <c r="Q40" s="372">
        <v>0</v>
      </c>
      <c r="R40" s="366">
        <f t="shared" si="8"/>
        <v>0</v>
      </c>
      <c r="S40" s="387">
        <f>SUM(D40,F40,J40,L40,N40,P40,R40)</f>
        <v>0</v>
      </c>
    </row>
    <row r="41" spans="1:19" ht="15.75" thickBot="1" x14ac:dyDescent="0.3">
      <c r="A41" s="323" t="s">
        <v>682</v>
      </c>
      <c r="B41" s="324" t="s">
        <v>669</v>
      </c>
      <c r="C41" s="374">
        <f>'Forma 8'!VAS008_F_NereguliuojamamIlgalaikiamTurtuiNetiesioginesProcPastatai</f>
        <v>86.894000000000005</v>
      </c>
      <c r="D41" s="375">
        <f>$D$27*C41/100</f>
        <v>1464.2393935072</v>
      </c>
      <c r="E41" s="376">
        <f>'Forma 8'!VAS008_F_NereguliuojamamIlgalaikiamTurtuiNetiesioginesProcPastatai</f>
        <v>86.894000000000005</v>
      </c>
      <c r="F41" s="366">
        <f>$F$27*E41/100</f>
        <v>1639.3100966669999</v>
      </c>
      <c r="G41" s="377" t="s">
        <v>653</v>
      </c>
      <c r="H41" s="377" t="s">
        <v>653</v>
      </c>
      <c r="I41" s="378">
        <f>'Forma 8'!VAS008_F_NereguliuojamamIlgalaikiamTurtuiNetiesioginesProcPastatai</f>
        <v>86.894000000000005</v>
      </c>
      <c r="J41" s="366">
        <f t="shared" si="4"/>
        <v>1501.0364391342</v>
      </c>
      <c r="K41" s="379">
        <f>'Forma 8'!VAS008_F_NereguliuojamamIlgalaikiamTurtuiNetiesioginesProcPastatai</f>
        <v>86.894000000000005</v>
      </c>
      <c r="L41" s="366">
        <f t="shared" si="5"/>
        <v>3820.6920328150009</v>
      </c>
      <c r="M41" s="380">
        <f>'Forma 8'!VAS008_F_NereguliuojamamIlgalaikiamTurtuiNetiesioginesProcPastatai</f>
        <v>86.894000000000005</v>
      </c>
      <c r="N41" s="366">
        <f>$N$27*M41/100</f>
        <v>185.676011587</v>
      </c>
      <c r="O41" s="380">
        <f>'Forma 8'!VAS008_F_NereguliuojamamIlgalaikiamTurtuiNetiesioginesProcPastatai</f>
        <v>86.894000000000005</v>
      </c>
      <c r="P41" s="366">
        <f t="shared" si="7"/>
        <v>80.951258514200006</v>
      </c>
      <c r="Q41" s="381">
        <f>'Forma 8'!VAS008_F_NereguliuojamamIlgalaikiamTurtuiNetiesioginesProcPastatai</f>
        <v>86.894000000000005</v>
      </c>
      <c r="R41" s="366">
        <f t="shared" si="8"/>
        <v>0</v>
      </c>
      <c r="S41" s="387">
        <f>SUM(D41,F41,J41,L41,N41,P41,R41)</f>
        <v>8691.9052322246007</v>
      </c>
    </row>
    <row r="42" spans="1:19" ht="31.5" customHeight="1" thickTop="1" thickBot="1" x14ac:dyDescent="0.3">
      <c r="A42" s="388" t="s">
        <v>364</v>
      </c>
      <c r="B42" s="389" t="s">
        <v>683</v>
      </c>
      <c r="C42" s="390">
        <f>SUM(C45:C53,C55,C56)</f>
        <v>100</v>
      </c>
      <c r="D42" s="391">
        <f>'[1] Bal 18'!$M$21/1000</f>
        <v>1158.0318600000001</v>
      </c>
      <c r="E42" s="390">
        <f>SUM(E45:E53,E55,E56)</f>
        <v>100</v>
      </c>
      <c r="F42" s="391">
        <f>'[1] Bal 18'!$M$22/1000</f>
        <v>212.79252</v>
      </c>
      <c r="G42" s="392" t="s">
        <v>653</v>
      </c>
      <c r="H42" s="393" t="s">
        <v>653</v>
      </c>
      <c r="I42" s="394">
        <f>SUM(I45:I53,I55,I56)</f>
        <v>100.00000000000001</v>
      </c>
      <c r="J42" s="395">
        <v>0</v>
      </c>
      <c r="K42" s="394">
        <f>SUM(K45:K53,K55,K56)</f>
        <v>100.00000000000003</v>
      </c>
      <c r="L42" s="395">
        <v>0</v>
      </c>
      <c r="M42" s="394">
        <f>SUM(M45:M53,M55,M56)</f>
        <v>99.999999999999972</v>
      </c>
      <c r="N42" s="391">
        <v>0</v>
      </c>
      <c r="O42" s="394">
        <f>SUM(O45:O53,O55,O56)</f>
        <v>100</v>
      </c>
      <c r="P42" s="395">
        <v>0</v>
      </c>
      <c r="Q42" s="394">
        <f>SUM(Q45:Q53,Q55,Q56)</f>
        <v>0</v>
      </c>
      <c r="R42" s="396">
        <v>0</v>
      </c>
      <c r="S42" s="397">
        <f>SUM(D42,F42,J42,L42,N42,P42,R42)</f>
        <v>1370.82438</v>
      </c>
    </row>
    <row r="43" spans="1:19" ht="21.75" customHeight="1" thickTop="1" x14ac:dyDescent="0.25">
      <c r="A43" s="1009" t="s">
        <v>684</v>
      </c>
      <c r="B43" s="1010"/>
      <c r="C43" s="1011" t="s">
        <v>685</v>
      </c>
      <c r="D43" s="1012"/>
      <c r="E43" s="1012"/>
      <c r="F43" s="1012"/>
      <c r="G43" s="1012"/>
      <c r="H43" s="1012"/>
      <c r="I43" s="1012"/>
      <c r="J43" s="1012"/>
      <c r="K43" s="1012"/>
      <c r="L43" s="1012"/>
      <c r="M43" s="1012"/>
      <c r="N43" s="1012"/>
      <c r="O43" s="1012"/>
      <c r="P43" s="1012"/>
      <c r="Q43" s="1012"/>
      <c r="R43" s="1012"/>
      <c r="S43" s="1013"/>
    </row>
    <row r="44" spans="1:19" ht="25.5" x14ac:dyDescent="0.25">
      <c r="A44" s="358" t="s">
        <v>165</v>
      </c>
      <c r="B44" s="359" t="s">
        <v>686</v>
      </c>
      <c r="C44" s="360">
        <f t="shared" ref="C44:F44" si="12">SUM(C45:C53)</f>
        <v>11.481238331219949</v>
      </c>
      <c r="D44" s="361">
        <f t="shared" si="12"/>
        <v>132.95639779805933</v>
      </c>
      <c r="E44" s="360">
        <f t="shared" si="12"/>
        <v>65.183048311243056</v>
      </c>
      <c r="F44" s="361">
        <f t="shared" si="12"/>
        <v>138.70465111431156</v>
      </c>
      <c r="G44" s="362" t="s">
        <v>653</v>
      </c>
      <c r="H44" s="362" t="s">
        <v>653</v>
      </c>
      <c r="I44" s="363">
        <f t="shared" ref="I44:R44" si="13">SUM(I45:I53)</f>
        <v>15.17540603882733</v>
      </c>
      <c r="J44" s="361">
        <f t="shared" si="13"/>
        <v>0</v>
      </c>
      <c r="K44" s="363">
        <f t="shared" si="13"/>
        <v>13.106000000000002</v>
      </c>
      <c r="L44" s="361">
        <f t="shared" si="13"/>
        <v>0</v>
      </c>
      <c r="M44" s="363">
        <f t="shared" si="13"/>
        <v>18.929275130379452</v>
      </c>
      <c r="N44" s="361">
        <f t="shared" si="13"/>
        <v>0</v>
      </c>
      <c r="O44" s="363">
        <f t="shared" si="13"/>
        <v>13.106000000000002</v>
      </c>
      <c r="P44" s="361">
        <f t="shared" si="13"/>
        <v>0</v>
      </c>
      <c r="Q44" s="363">
        <f t="shared" si="13"/>
        <v>0</v>
      </c>
      <c r="R44" s="361">
        <f t="shared" si="13"/>
        <v>0</v>
      </c>
      <c r="S44" s="364">
        <f>SUM(S45:S53)</f>
        <v>271.66104891237092</v>
      </c>
    </row>
    <row r="45" spans="1:19" x14ac:dyDescent="0.25">
      <c r="A45" s="398" t="s">
        <v>167</v>
      </c>
      <c r="B45" s="277" t="s">
        <v>598</v>
      </c>
      <c r="C45" s="399">
        <f t="shared" ref="C45:C53" si="14">IF($D$13+$D$27=0,0,(D15+D30)/($D$13+$D$27)*100)</f>
        <v>0</v>
      </c>
      <c r="D45" s="400">
        <f>$D$42*C45/100</f>
        <v>0</v>
      </c>
      <c r="E45" s="399">
        <f t="shared" ref="E45:E53" si="15">IF($F$13+$F$27=0,0,(F15+F30)/($F$13+$F$27)*100)</f>
        <v>0</v>
      </c>
      <c r="F45" s="400">
        <f>$F$42*E45/100</f>
        <v>0</v>
      </c>
      <c r="G45" s="384" t="s">
        <v>653</v>
      </c>
      <c r="H45" s="384" t="s">
        <v>653</v>
      </c>
      <c r="I45" s="401">
        <f t="shared" ref="I45:I53" si="16">IF($J$13+$J$27=0,0,(J15+J30)/($J$13+$J$27)*100)</f>
        <v>0</v>
      </c>
      <c r="J45" s="400">
        <f>$J$42*I45/100</f>
        <v>0</v>
      </c>
      <c r="K45" s="401">
        <f t="shared" ref="K45:K53" si="17">IF($L$13+$L$27=0,0,(L15+L30)/($L$13+$L$27)*100)</f>
        <v>0</v>
      </c>
      <c r="L45" s="400">
        <f>$L$42*K45/100</f>
        <v>0</v>
      </c>
      <c r="M45" s="401">
        <f t="shared" ref="M45:M53" si="18">IF($N$13+$N$27=0,0,(N15+N30)/($N$13+$N$27)*100)</f>
        <v>0</v>
      </c>
      <c r="N45" s="400">
        <f>$N$42*M45/100</f>
        <v>0</v>
      </c>
      <c r="O45" s="401">
        <f t="shared" ref="O45:O53" si="19">IF($P$13+$P$27=0,0,(P15+P30)/($P$13+$P$27)*100)</f>
        <v>0</v>
      </c>
      <c r="P45" s="400">
        <f>$P$42*O45/100</f>
        <v>0</v>
      </c>
      <c r="Q45" s="401">
        <f t="shared" ref="Q45:Q53" si="20">IF($R$13+$R$27=0,0,(R15+R30)/($R$13+$R$27)*100)</f>
        <v>0</v>
      </c>
      <c r="R45" s="400">
        <f>$R$42*Q45/100</f>
        <v>0</v>
      </c>
      <c r="S45" s="402">
        <f>SUM(D45,F45,J45,L45,N45,P45,R45)</f>
        <v>0</v>
      </c>
    </row>
    <row r="46" spans="1:19" x14ac:dyDescent="0.25">
      <c r="A46" s="307" t="s">
        <v>485</v>
      </c>
      <c r="B46" s="277" t="s">
        <v>656</v>
      </c>
      <c r="C46" s="399">
        <f t="shared" si="14"/>
        <v>0</v>
      </c>
      <c r="D46" s="400">
        <f t="shared" ref="D46:D56" si="21">$D$42*C46/100</f>
        <v>0</v>
      </c>
      <c r="E46" s="399">
        <f t="shared" si="15"/>
        <v>0</v>
      </c>
      <c r="F46" s="400">
        <f t="shared" ref="F46:F56" si="22">$F$42*E46/100</f>
        <v>0</v>
      </c>
      <c r="G46" s="368" t="s">
        <v>653</v>
      </c>
      <c r="H46" s="368" t="s">
        <v>653</v>
      </c>
      <c r="I46" s="401">
        <f t="shared" si="16"/>
        <v>0</v>
      </c>
      <c r="J46" s="400">
        <f t="shared" ref="J46:J56" si="23">$J$42*I46/100</f>
        <v>0</v>
      </c>
      <c r="K46" s="401">
        <f t="shared" si="17"/>
        <v>0</v>
      </c>
      <c r="L46" s="400">
        <f t="shared" ref="L46:L56" si="24">$L$42*K46/100</f>
        <v>0</v>
      </c>
      <c r="M46" s="401">
        <f t="shared" si="18"/>
        <v>0</v>
      </c>
      <c r="N46" s="400">
        <f t="shared" ref="N46:N56" si="25">$N$42*M46/100</f>
        <v>0</v>
      </c>
      <c r="O46" s="401">
        <f t="shared" si="19"/>
        <v>0</v>
      </c>
      <c r="P46" s="400">
        <f t="shared" ref="P46:P56" si="26">$P$42*O46/100</f>
        <v>0</v>
      </c>
      <c r="Q46" s="401">
        <f t="shared" si="20"/>
        <v>0</v>
      </c>
      <c r="R46" s="400">
        <f t="shared" ref="R46:R56" si="27">$R$42*Q46/100</f>
        <v>0</v>
      </c>
      <c r="S46" s="402">
        <f t="shared" ref="S46:S56" si="28">SUM(D46,F46,J46,L46,N46,P46,R46)</f>
        <v>0</v>
      </c>
    </row>
    <row r="47" spans="1:19" x14ac:dyDescent="0.25">
      <c r="A47" s="307" t="s">
        <v>687</v>
      </c>
      <c r="B47" s="277" t="s">
        <v>606</v>
      </c>
      <c r="C47" s="399">
        <f t="shared" si="14"/>
        <v>0</v>
      </c>
      <c r="D47" s="400">
        <f t="shared" si="21"/>
        <v>0</v>
      </c>
      <c r="E47" s="399">
        <f t="shared" si="15"/>
        <v>0</v>
      </c>
      <c r="F47" s="400">
        <f t="shared" si="22"/>
        <v>0</v>
      </c>
      <c r="G47" s="368" t="s">
        <v>653</v>
      </c>
      <c r="H47" s="368" t="s">
        <v>653</v>
      </c>
      <c r="I47" s="401">
        <f t="shared" si="16"/>
        <v>0</v>
      </c>
      <c r="J47" s="400">
        <f t="shared" si="23"/>
        <v>0</v>
      </c>
      <c r="K47" s="401">
        <f t="shared" si="17"/>
        <v>0</v>
      </c>
      <c r="L47" s="400">
        <f t="shared" si="24"/>
        <v>0</v>
      </c>
      <c r="M47" s="401">
        <f t="shared" si="18"/>
        <v>0</v>
      </c>
      <c r="N47" s="400">
        <f t="shared" si="25"/>
        <v>0</v>
      </c>
      <c r="O47" s="401">
        <f t="shared" si="19"/>
        <v>0</v>
      </c>
      <c r="P47" s="400">
        <f t="shared" si="26"/>
        <v>0</v>
      </c>
      <c r="Q47" s="401">
        <f t="shared" si="20"/>
        <v>0</v>
      </c>
      <c r="R47" s="400">
        <f t="shared" si="27"/>
        <v>0</v>
      </c>
      <c r="S47" s="402">
        <f t="shared" si="28"/>
        <v>0</v>
      </c>
    </row>
    <row r="48" spans="1:19" x14ac:dyDescent="0.25">
      <c r="A48" s="307" t="s">
        <v>688</v>
      </c>
      <c r="B48" s="277" t="s">
        <v>575</v>
      </c>
      <c r="C48" s="399">
        <f t="shared" si="14"/>
        <v>0</v>
      </c>
      <c r="D48" s="400">
        <f t="shared" si="21"/>
        <v>0</v>
      </c>
      <c r="E48" s="399">
        <f t="shared" si="15"/>
        <v>0</v>
      </c>
      <c r="F48" s="400">
        <f t="shared" si="22"/>
        <v>0</v>
      </c>
      <c r="G48" s="368" t="s">
        <v>653</v>
      </c>
      <c r="H48" s="368" t="s">
        <v>653</v>
      </c>
      <c r="I48" s="401">
        <f t="shared" si="16"/>
        <v>0</v>
      </c>
      <c r="J48" s="400">
        <f t="shared" si="23"/>
        <v>0</v>
      </c>
      <c r="K48" s="401">
        <f t="shared" si="17"/>
        <v>0</v>
      </c>
      <c r="L48" s="400">
        <f t="shared" si="24"/>
        <v>0</v>
      </c>
      <c r="M48" s="401">
        <f t="shared" si="18"/>
        <v>0</v>
      </c>
      <c r="N48" s="400">
        <f t="shared" si="25"/>
        <v>0</v>
      </c>
      <c r="O48" s="401">
        <f t="shared" si="19"/>
        <v>0</v>
      </c>
      <c r="P48" s="400">
        <f t="shared" si="26"/>
        <v>0</v>
      </c>
      <c r="Q48" s="401">
        <f t="shared" si="20"/>
        <v>0</v>
      </c>
      <c r="R48" s="400">
        <f t="shared" si="27"/>
        <v>0</v>
      </c>
      <c r="S48" s="402">
        <f t="shared" si="28"/>
        <v>0</v>
      </c>
    </row>
    <row r="49" spans="1:19" x14ac:dyDescent="0.25">
      <c r="A49" s="307" t="s">
        <v>689</v>
      </c>
      <c r="B49" s="277" t="s">
        <v>659</v>
      </c>
      <c r="C49" s="399">
        <f t="shared" si="14"/>
        <v>0</v>
      </c>
      <c r="D49" s="400">
        <f t="shared" si="21"/>
        <v>0</v>
      </c>
      <c r="E49" s="399">
        <f t="shared" si="15"/>
        <v>0</v>
      </c>
      <c r="F49" s="400">
        <f t="shared" si="22"/>
        <v>0</v>
      </c>
      <c r="G49" s="368" t="s">
        <v>653</v>
      </c>
      <c r="H49" s="368" t="s">
        <v>653</v>
      </c>
      <c r="I49" s="401">
        <f t="shared" si="16"/>
        <v>0</v>
      </c>
      <c r="J49" s="400">
        <f t="shared" si="23"/>
        <v>0</v>
      </c>
      <c r="K49" s="401">
        <f t="shared" si="17"/>
        <v>0</v>
      </c>
      <c r="L49" s="400">
        <f t="shared" si="24"/>
        <v>0</v>
      </c>
      <c r="M49" s="401">
        <f t="shared" si="18"/>
        <v>0</v>
      </c>
      <c r="N49" s="400">
        <f t="shared" si="25"/>
        <v>0</v>
      </c>
      <c r="O49" s="401">
        <f t="shared" si="19"/>
        <v>0</v>
      </c>
      <c r="P49" s="400">
        <f t="shared" si="26"/>
        <v>0</v>
      </c>
      <c r="Q49" s="401">
        <f t="shared" si="20"/>
        <v>0</v>
      </c>
      <c r="R49" s="400">
        <f t="shared" si="27"/>
        <v>0</v>
      </c>
      <c r="S49" s="402">
        <f t="shared" si="28"/>
        <v>0</v>
      </c>
    </row>
    <row r="50" spans="1:19" x14ac:dyDescent="0.25">
      <c r="A50" s="307" t="s">
        <v>690</v>
      </c>
      <c r="B50" s="277" t="s">
        <v>579</v>
      </c>
      <c r="C50" s="399">
        <f t="shared" si="14"/>
        <v>0</v>
      </c>
      <c r="D50" s="400">
        <f t="shared" si="21"/>
        <v>0</v>
      </c>
      <c r="E50" s="399">
        <f t="shared" si="15"/>
        <v>0</v>
      </c>
      <c r="F50" s="400">
        <f t="shared" si="22"/>
        <v>0</v>
      </c>
      <c r="G50" s="368" t="s">
        <v>653</v>
      </c>
      <c r="H50" s="368" t="s">
        <v>653</v>
      </c>
      <c r="I50" s="401">
        <f t="shared" si="16"/>
        <v>0</v>
      </c>
      <c r="J50" s="400">
        <f t="shared" si="23"/>
        <v>0</v>
      </c>
      <c r="K50" s="401">
        <f t="shared" si="17"/>
        <v>0</v>
      </c>
      <c r="L50" s="400">
        <f t="shared" si="24"/>
        <v>0</v>
      </c>
      <c r="M50" s="401">
        <f t="shared" si="18"/>
        <v>0</v>
      </c>
      <c r="N50" s="400">
        <f t="shared" si="25"/>
        <v>0</v>
      </c>
      <c r="O50" s="401">
        <f t="shared" si="19"/>
        <v>0</v>
      </c>
      <c r="P50" s="400">
        <f t="shared" si="26"/>
        <v>0</v>
      </c>
      <c r="Q50" s="401">
        <f t="shared" si="20"/>
        <v>0</v>
      </c>
      <c r="R50" s="400">
        <f t="shared" si="27"/>
        <v>0</v>
      </c>
      <c r="S50" s="402">
        <f t="shared" si="28"/>
        <v>0</v>
      </c>
    </row>
    <row r="51" spans="1:19" x14ac:dyDescent="0.25">
      <c r="A51" s="307" t="s">
        <v>691</v>
      </c>
      <c r="B51" s="277" t="s">
        <v>585</v>
      </c>
      <c r="C51" s="399">
        <f t="shared" si="14"/>
        <v>0</v>
      </c>
      <c r="D51" s="400">
        <f t="shared" si="21"/>
        <v>0</v>
      </c>
      <c r="E51" s="399">
        <f t="shared" si="15"/>
        <v>0</v>
      </c>
      <c r="F51" s="400">
        <f t="shared" si="22"/>
        <v>0</v>
      </c>
      <c r="G51" s="368" t="s">
        <v>653</v>
      </c>
      <c r="H51" s="368" t="s">
        <v>653</v>
      </c>
      <c r="I51" s="401">
        <f t="shared" si="16"/>
        <v>0</v>
      </c>
      <c r="J51" s="400">
        <f t="shared" si="23"/>
        <v>0</v>
      </c>
      <c r="K51" s="401">
        <f t="shared" si="17"/>
        <v>0</v>
      </c>
      <c r="L51" s="400">
        <f t="shared" si="24"/>
        <v>0</v>
      </c>
      <c r="M51" s="401">
        <f t="shared" si="18"/>
        <v>0</v>
      </c>
      <c r="N51" s="400">
        <f t="shared" si="25"/>
        <v>0</v>
      </c>
      <c r="O51" s="401">
        <f t="shared" si="19"/>
        <v>0</v>
      </c>
      <c r="P51" s="400">
        <f t="shared" si="26"/>
        <v>0</v>
      </c>
      <c r="Q51" s="401">
        <f t="shared" si="20"/>
        <v>0</v>
      </c>
      <c r="R51" s="400">
        <f t="shared" si="27"/>
        <v>0</v>
      </c>
      <c r="S51" s="402">
        <f t="shared" si="28"/>
        <v>0</v>
      </c>
    </row>
    <row r="52" spans="1:19" x14ac:dyDescent="0.25">
      <c r="A52" s="307" t="s">
        <v>692</v>
      </c>
      <c r="B52" s="277" t="s">
        <v>663</v>
      </c>
      <c r="C52" s="399">
        <f t="shared" si="14"/>
        <v>11.481238331219949</v>
      </c>
      <c r="D52" s="400">
        <f t="shared" si="21"/>
        <v>132.95639779805933</v>
      </c>
      <c r="E52" s="399">
        <f t="shared" si="15"/>
        <v>65.183048311243056</v>
      </c>
      <c r="F52" s="400">
        <f t="shared" si="22"/>
        <v>138.70465111431156</v>
      </c>
      <c r="G52" s="368" t="s">
        <v>653</v>
      </c>
      <c r="H52" s="368" t="s">
        <v>653</v>
      </c>
      <c r="I52" s="401">
        <f t="shared" si="16"/>
        <v>15.17540603882733</v>
      </c>
      <c r="J52" s="400">
        <f t="shared" si="23"/>
        <v>0</v>
      </c>
      <c r="K52" s="401">
        <f t="shared" si="17"/>
        <v>13.106000000000002</v>
      </c>
      <c r="L52" s="400">
        <f t="shared" si="24"/>
        <v>0</v>
      </c>
      <c r="M52" s="401">
        <f t="shared" si="18"/>
        <v>18.929275130379452</v>
      </c>
      <c r="N52" s="400">
        <f t="shared" si="25"/>
        <v>0</v>
      </c>
      <c r="O52" s="401">
        <f t="shared" si="19"/>
        <v>13.106000000000002</v>
      </c>
      <c r="P52" s="400">
        <f t="shared" si="26"/>
        <v>0</v>
      </c>
      <c r="Q52" s="401">
        <f t="shared" si="20"/>
        <v>0</v>
      </c>
      <c r="R52" s="400">
        <f t="shared" si="27"/>
        <v>0</v>
      </c>
      <c r="S52" s="402">
        <f t="shared" si="28"/>
        <v>271.66104891237092</v>
      </c>
    </row>
    <row r="53" spans="1:19" ht="15.75" thickBot="1" x14ac:dyDescent="0.3">
      <c r="A53" s="323" t="s">
        <v>693</v>
      </c>
      <c r="B53" s="324" t="s">
        <v>596</v>
      </c>
      <c r="C53" s="403">
        <f t="shared" si="14"/>
        <v>0</v>
      </c>
      <c r="D53" s="375">
        <f t="shared" si="21"/>
        <v>0</v>
      </c>
      <c r="E53" s="403">
        <f t="shared" si="15"/>
        <v>0</v>
      </c>
      <c r="F53" s="375">
        <f t="shared" si="22"/>
        <v>0</v>
      </c>
      <c r="G53" s="377" t="s">
        <v>653</v>
      </c>
      <c r="H53" s="377" t="s">
        <v>653</v>
      </c>
      <c r="I53" s="404">
        <f t="shared" si="16"/>
        <v>0</v>
      </c>
      <c r="J53" s="375">
        <f t="shared" si="23"/>
        <v>0</v>
      </c>
      <c r="K53" s="404">
        <f t="shared" si="17"/>
        <v>0</v>
      </c>
      <c r="L53" s="375">
        <f t="shared" si="24"/>
        <v>0</v>
      </c>
      <c r="M53" s="404">
        <f t="shared" si="18"/>
        <v>0</v>
      </c>
      <c r="N53" s="375">
        <f t="shared" si="25"/>
        <v>0</v>
      </c>
      <c r="O53" s="404">
        <f t="shared" si="19"/>
        <v>0</v>
      </c>
      <c r="P53" s="375">
        <f t="shared" si="26"/>
        <v>0</v>
      </c>
      <c r="Q53" s="404">
        <f t="shared" si="20"/>
        <v>0</v>
      </c>
      <c r="R53" s="375">
        <f t="shared" si="27"/>
        <v>0</v>
      </c>
      <c r="S53" s="402">
        <f t="shared" si="28"/>
        <v>0</v>
      </c>
    </row>
    <row r="54" spans="1:19" ht="26.25" thickTop="1" x14ac:dyDescent="0.25">
      <c r="A54" s="229" t="s">
        <v>329</v>
      </c>
      <c r="B54" s="333" t="s">
        <v>694</v>
      </c>
      <c r="C54" s="405">
        <f t="shared" ref="C54:F54" si="29">SUM(C55,C56)</f>
        <v>88.518761668780058</v>
      </c>
      <c r="D54" s="400">
        <f t="shared" si="29"/>
        <v>1025.0754622019408</v>
      </c>
      <c r="E54" s="405">
        <f t="shared" si="29"/>
        <v>34.816951688756937</v>
      </c>
      <c r="F54" s="400">
        <f t="shared" si="29"/>
        <v>74.087868885688437</v>
      </c>
      <c r="G54" s="384" t="s">
        <v>653</v>
      </c>
      <c r="H54" s="384" t="s">
        <v>653</v>
      </c>
      <c r="I54" s="385">
        <f t="shared" ref="I54:R54" si="30">SUM(I55,I56)</f>
        <v>84.824593961172681</v>
      </c>
      <c r="J54" s="400">
        <f t="shared" si="30"/>
        <v>0</v>
      </c>
      <c r="K54" s="385">
        <f t="shared" si="30"/>
        <v>86.89400000000002</v>
      </c>
      <c r="L54" s="400">
        <f t="shared" si="30"/>
        <v>0</v>
      </c>
      <c r="M54" s="385">
        <f t="shared" si="30"/>
        <v>81.07072486962052</v>
      </c>
      <c r="N54" s="400">
        <f t="shared" si="30"/>
        <v>0</v>
      </c>
      <c r="O54" s="385">
        <f t="shared" si="30"/>
        <v>86.894000000000005</v>
      </c>
      <c r="P54" s="400">
        <f t="shared" si="30"/>
        <v>0</v>
      </c>
      <c r="Q54" s="385">
        <f t="shared" si="30"/>
        <v>0</v>
      </c>
      <c r="R54" s="400">
        <f t="shared" si="30"/>
        <v>0</v>
      </c>
      <c r="S54" s="386">
        <f>SUM(S55,S56)</f>
        <v>1099.1633310876293</v>
      </c>
    </row>
    <row r="55" spans="1:19" x14ac:dyDescent="0.25">
      <c r="A55" s="307" t="s">
        <v>695</v>
      </c>
      <c r="B55" s="277" t="s">
        <v>667</v>
      </c>
      <c r="C55" s="399">
        <f>IF($D$13+$D$27=0,0,(D25+D40)/($D$13+$D$27)*100)</f>
        <v>0</v>
      </c>
      <c r="D55" s="400">
        <f t="shared" si="21"/>
        <v>0</v>
      </c>
      <c r="E55" s="399">
        <f>IF($F$13+$F$27=0,0,(F25+F40)/($F$13+$F$27)*100)</f>
        <v>0</v>
      </c>
      <c r="F55" s="400">
        <f t="shared" si="22"/>
        <v>0</v>
      </c>
      <c r="G55" s="368" t="s">
        <v>653</v>
      </c>
      <c r="H55" s="368" t="s">
        <v>653</v>
      </c>
      <c r="I55" s="401">
        <f>IF($J$13+$J$27=0,0,(J25+J40)/($J$13+$J$27)*100)</f>
        <v>0</v>
      </c>
      <c r="J55" s="400">
        <f t="shared" si="23"/>
        <v>0</v>
      </c>
      <c r="K55" s="401">
        <f>IF($L$13+$L$27=0,0,(L25+L40)/($L$13+$L$27)*100)</f>
        <v>0</v>
      </c>
      <c r="L55" s="400">
        <f t="shared" si="24"/>
        <v>0</v>
      </c>
      <c r="M55" s="401">
        <f>IF($N$13+$N$27=0,0,(N25+N40)/($N$13+$N$27)*100)</f>
        <v>0</v>
      </c>
      <c r="N55" s="400">
        <f t="shared" si="25"/>
        <v>0</v>
      </c>
      <c r="O55" s="401">
        <f>IF($P$13+$P$27=0,0,(P25+P40)/($P$13+$P$27)*100)</f>
        <v>0</v>
      </c>
      <c r="P55" s="400">
        <f t="shared" si="26"/>
        <v>0</v>
      </c>
      <c r="Q55" s="401">
        <f>IF($R$13+$R$27=0,0,(R25+R40)/($R$13+$R$27)*100)</f>
        <v>0</v>
      </c>
      <c r="R55" s="400">
        <f t="shared" si="27"/>
        <v>0</v>
      </c>
      <c r="S55" s="387">
        <f t="shared" si="28"/>
        <v>0</v>
      </c>
    </row>
    <row r="56" spans="1:19" ht="15.75" thickBot="1" x14ac:dyDescent="0.3">
      <c r="A56" s="307" t="s">
        <v>696</v>
      </c>
      <c r="B56" s="324" t="s">
        <v>669</v>
      </c>
      <c r="C56" s="399">
        <f>IF($D$13+$D$27=0,0,(D26+D41)/($D$13+$D$27)*100)</f>
        <v>88.518761668780058</v>
      </c>
      <c r="D56" s="400">
        <f t="shared" si="21"/>
        <v>1025.0754622019408</v>
      </c>
      <c r="E56" s="399">
        <f>IF($F$13+$F$27=0,0,(F26+F41)/($F$13+$F$27)*100)</f>
        <v>34.816951688756937</v>
      </c>
      <c r="F56" s="400">
        <f t="shared" si="22"/>
        <v>74.087868885688437</v>
      </c>
      <c r="G56" s="368" t="s">
        <v>653</v>
      </c>
      <c r="H56" s="368" t="s">
        <v>653</v>
      </c>
      <c r="I56" s="401">
        <f>IF($J$13+$J$27=0,0,(J26+J41)/($J$13+$J$27)*100)</f>
        <v>84.824593961172681</v>
      </c>
      <c r="J56" s="400">
        <f t="shared" si="23"/>
        <v>0</v>
      </c>
      <c r="K56" s="401">
        <f>IF($L$13+$L$27=0,0,(L26+L41)/($L$13+$L$27)*100)</f>
        <v>86.89400000000002</v>
      </c>
      <c r="L56" s="400">
        <f t="shared" si="24"/>
        <v>0</v>
      </c>
      <c r="M56" s="401">
        <f>IF($N$13+$N$27=0,0,(N26+N41)/($N$13+$N$27)*100)</f>
        <v>81.07072486962052</v>
      </c>
      <c r="N56" s="400">
        <f t="shared" si="25"/>
        <v>0</v>
      </c>
      <c r="O56" s="401">
        <f>IF($P$13+$P$27=0,0,(P26+P41)/($P$13+$P$27)*100)</f>
        <v>86.894000000000005</v>
      </c>
      <c r="P56" s="400">
        <f t="shared" si="26"/>
        <v>0</v>
      </c>
      <c r="Q56" s="401">
        <f>IF($R$13+$R$27=0,0,(R26+R41)/($R$13+$R$27)*100)</f>
        <v>0</v>
      </c>
      <c r="R56" s="400">
        <f t="shared" si="27"/>
        <v>0</v>
      </c>
      <c r="S56" s="387">
        <f t="shared" si="28"/>
        <v>1099.1633310876293</v>
      </c>
    </row>
    <row r="57" spans="1:19" ht="30" thickTop="1" thickBot="1" x14ac:dyDescent="0.3">
      <c r="A57" s="388" t="s">
        <v>169</v>
      </c>
      <c r="B57" s="406" t="s">
        <v>697</v>
      </c>
      <c r="C57" s="390" t="s">
        <v>653</v>
      </c>
      <c r="D57" s="407">
        <f>SUM(D58,D68)</f>
        <v>3694.5626600000001</v>
      </c>
      <c r="E57" s="390" t="s">
        <v>653</v>
      </c>
      <c r="F57" s="407">
        <f>SUM(F58,F68)</f>
        <v>5357.4763300000004</v>
      </c>
      <c r="G57" s="392" t="s">
        <v>653</v>
      </c>
      <c r="H57" s="407">
        <f>SUM(H58,H68)</f>
        <v>25799.129199999999</v>
      </c>
      <c r="I57" s="392" t="s">
        <v>653</v>
      </c>
      <c r="J57" s="407">
        <f>SUM(J58,J68)</f>
        <v>1948.3729799999999</v>
      </c>
      <c r="K57" s="392" t="s">
        <v>653</v>
      </c>
      <c r="L57" s="407">
        <f>SUM(L58,L68)</f>
        <v>4396.9572500000013</v>
      </c>
      <c r="M57" s="392" t="s">
        <v>653</v>
      </c>
      <c r="N57" s="407">
        <f>SUM(N58,N68)</f>
        <v>369.68054999999998</v>
      </c>
      <c r="O57" s="392" t="s">
        <v>653</v>
      </c>
      <c r="P57" s="407">
        <f>SUM(P58,P68)</f>
        <v>93.160930000000008</v>
      </c>
      <c r="Q57" s="394" t="s">
        <v>653</v>
      </c>
      <c r="R57" s="407">
        <f>SUM(R58,R68)</f>
        <v>0</v>
      </c>
      <c r="S57" s="397">
        <f>SUM(D57,F57,H57,J57,L57,N57,P57,R57)</f>
        <v>41659.339899999992</v>
      </c>
    </row>
    <row r="58" spans="1:19" ht="26.25" thickTop="1" x14ac:dyDescent="0.25">
      <c r="A58" s="408" t="s">
        <v>171</v>
      </c>
      <c r="B58" s="359" t="s">
        <v>698</v>
      </c>
      <c r="C58" s="409" t="s">
        <v>653</v>
      </c>
      <c r="D58" s="410">
        <f>SUM(D59:D67)</f>
        <v>424.18154429085928</v>
      </c>
      <c r="E58" s="409" t="s">
        <v>653</v>
      </c>
      <c r="F58" s="410">
        <f>SUM(F59:F67)</f>
        <v>3492.1663844473119</v>
      </c>
      <c r="G58" s="411" t="s">
        <v>653</v>
      </c>
      <c r="H58" s="410">
        <f>SUM(H59:H67)</f>
        <v>25799.129199999999</v>
      </c>
      <c r="I58" s="411" t="s">
        <v>653</v>
      </c>
      <c r="J58" s="410">
        <f>SUM(J59:J67)</f>
        <v>295.67351086579998</v>
      </c>
      <c r="K58" s="411" t="s">
        <v>653</v>
      </c>
      <c r="L58" s="410">
        <f>SUM(L59:L67)</f>
        <v>576.2652171850001</v>
      </c>
      <c r="M58" s="411" t="s">
        <v>653</v>
      </c>
      <c r="N58" s="410">
        <f>SUM(N59:N67)</f>
        <v>69.97784841299999</v>
      </c>
      <c r="O58" s="411" t="s">
        <v>653</v>
      </c>
      <c r="P58" s="410">
        <f>SUM(P59:P67)</f>
        <v>12.209671485800001</v>
      </c>
      <c r="Q58" s="412" t="s">
        <v>653</v>
      </c>
      <c r="R58" s="410">
        <f>SUM(R59:R67)</f>
        <v>0</v>
      </c>
      <c r="S58" s="413">
        <f>SUM(S59:S67)</f>
        <v>30669.60337668777</v>
      </c>
    </row>
    <row r="59" spans="1:19" x14ac:dyDescent="0.25">
      <c r="A59" s="307" t="s">
        <v>173</v>
      </c>
      <c r="B59" s="277" t="s">
        <v>699</v>
      </c>
      <c r="C59" s="414" t="s">
        <v>653</v>
      </c>
      <c r="D59" s="415">
        <f>SUM(D15,D30,D45)</f>
        <v>0</v>
      </c>
      <c r="E59" s="414" t="s">
        <v>653</v>
      </c>
      <c r="F59" s="415">
        <f>SUM(F15,F30,F45)</f>
        <v>0</v>
      </c>
      <c r="G59" s="368" t="s">
        <v>653</v>
      </c>
      <c r="H59" s="368" t="s">
        <v>653</v>
      </c>
      <c r="I59" s="368" t="s">
        <v>653</v>
      </c>
      <c r="J59" s="415">
        <f>SUM(J15,J30,J45)</f>
        <v>0</v>
      </c>
      <c r="K59" s="368" t="s">
        <v>653</v>
      </c>
      <c r="L59" s="416">
        <f>SUM(L15,L30,L45)</f>
        <v>0</v>
      </c>
      <c r="M59" s="368" t="s">
        <v>653</v>
      </c>
      <c r="N59" s="416">
        <f>SUM(N15,N30,N45)</f>
        <v>0</v>
      </c>
      <c r="O59" s="368" t="s">
        <v>653</v>
      </c>
      <c r="P59" s="416">
        <f>SUM(P15,P30,P45)</f>
        <v>0</v>
      </c>
      <c r="Q59" s="368" t="s">
        <v>653</v>
      </c>
      <c r="R59" s="417">
        <f>SUM(R15,R30,R45)</f>
        <v>0</v>
      </c>
      <c r="S59" s="418">
        <f>SUM(D59,F59,J59,L59,N59,P59,R59)</f>
        <v>0</v>
      </c>
    </row>
    <row r="60" spans="1:19" x14ac:dyDescent="0.25">
      <c r="A60" s="307" t="s">
        <v>176</v>
      </c>
      <c r="B60" s="277" t="s">
        <v>656</v>
      </c>
      <c r="C60" s="414" t="s">
        <v>653</v>
      </c>
      <c r="D60" s="415">
        <f t="shared" ref="D60:D67" si="31">SUM(D16,D31,D46)</f>
        <v>0</v>
      </c>
      <c r="E60" s="414" t="s">
        <v>653</v>
      </c>
      <c r="F60" s="415">
        <f t="shared" ref="F60:F67" si="32">SUM(F16,F31,F46)</f>
        <v>0</v>
      </c>
      <c r="G60" s="368" t="s">
        <v>653</v>
      </c>
      <c r="H60" s="368" t="s">
        <v>653</v>
      </c>
      <c r="I60" s="368" t="s">
        <v>653</v>
      </c>
      <c r="J60" s="415">
        <f t="shared" ref="J60:J67" si="33">SUM(J16,J31,J46)</f>
        <v>0</v>
      </c>
      <c r="K60" s="368" t="s">
        <v>653</v>
      </c>
      <c r="L60" s="416">
        <f t="shared" ref="L60:L67" si="34">SUM(L16,L31,L46)</f>
        <v>0</v>
      </c>
      <c r="M60" s="368" t="s">
        <v>653</v>
      </c>
      <c r="N60" s="416">
        <f t="shared" ref="N60:N67" si="35">SUM(N16,N31,N46)</f>
        <v>0</v>
      </c>
      <c r="O60" s="368" t="s">
        <v>653</v>
      </c>
      <c r="P60" s="416">
        <f t="shared" ref="P60:P67" si="36">SUM(P16,P31,P46)</f>
        <v>0</v>
      </c>
      <c r="Q60" s="368" t="s">
        <v>653</v>
      </c>
      <c r="R60" s="417">
        <f t="shared" ref="R60:R66" si="37">SUM(R16,R31,R46)</f>
        <v>0</v>
      </c>
      <c r="S60" s="418">
        <f t="shared" ref="S60:S61" si="38">SUM(D60,F60,J60,L60,N60,P60,R60)</f>
        <v>0</v>
      </c>
    </row>
    <row r="61" spans="1:19" x14ac:dyDescent="0.25">
      <c r="A61" s="307" t="s">
        <v>700</v>
      </c>
      <c r="B61" s="277" t="s">
        <v>606</v>
      </c>
      <c r="C61" s="414" t="s">
        <v>653</v>
      </c>
      <c r="D61" s="415">
        <f t="shared" si="31"/>
        <v>0</v>
      </c>
      <c r="E61" s="414" t="s">
        <v>653</v>
      </c>
      <c r="F61" s="415">
        <f t="shared" si="32"/>
        <v>0</v>
      </c>
      <c r="G61" s="368" t="s">
        <v>653</v>
      </c>
      <c r="H61" s="368" t="s">
        <v>653</v>
      </c>
      <c r="I61" s="368" t="s">
        <v>653</v>
      </c>
      <c r="J61" s="415">
        <f t="shared" si="33"/>
        <v>0</v>
      </c>
      <c r="K61" s="368" t="s">
        <v>653</v>
      </c>
      <c r="L61" s="416">
        <f t="shared" si="34"/>
        <v>0</v>
      </c>
      <c r="M61" s="368" t="s">
        <v>653</v>
      </c>
      <c r="N61" s="416">
        <f t="shared" si="35"/>
        <v>0</v>
      </c>
      <c r="O61" s="368" t="s">
        <v>653</v>
      </c>
      <c r="P61" s="416">
        <f t="shared" si="36"/>
        <v>0</v>
      </c>
      <c r="Q61" s="368" t="s">
        <v>653</v>
      </c>
      <c r="R61" s="417">
        <f t="shared" si="37"/>
        <v>0</v>
      </c>
      <c r="S61" s="418">
        <f t="shared" si="38"/>
        <v>0</v>
      </c>
    </row>
    <row r="62" spans="1:19" x14ac:dyDescent="0.25">
      <c r="A62" s="307" t="s">
        <v>701</v>
      </c>
      <c r="B62" s="277" t="s">
        <v>575</v>
      </c>
      <c r="C62" s="414" t="s">
        <v>653</v>
      </c>
      <c r="D62" s="415">
        <f t="shared" si="31"/>
        <v>0</v>
      </c>
      <c r="E62" s="414" t="s">
        <v>653</v>
      </c>
      <c r="F62" s="415">
        <f t="shared" si="32"/>
        <v>0</v>
      </c>
      <c r="G62" s="368" t="s">
        <v>653</v>
      </c>
      <c r="H62" s="419">
        <f>H18</f>
        <v>0</v>
      </c>
      <c r="I62" s="368" t="s">
        <v>653</v>
      </c>
      <c r="J62" s="415">
        <f t="shared" si="33"/>
        <v>0</v>
      </c>
      <c r="K62" s="368" t="s">
        <v>653</v>
      </c>
      <c r="L62" s="416">
        <f t="shared" si="34"/>
        <v>0</v>
      </c>
      <c r="M62" s="368" t="s">
        <v>653</v>
      </c>
      <c r="N62" s="416">
        <f t="shared" si="35"/>
        <v>0</v>
      </c>
      <c r="O62" s="368" t="s">
        <v>653</v>
      </c>
      <c r="P62" s="416">
        <f t="shared" si="36"/>
        <v>0</v>
      </c>
      <c r="Q62" s="368" t="s">
        <v>653</v>
      </c>
      <c r="R62" s="417">
        <f t="shared" si="37"/>
        <v>0</v>
      </c>
      <c r="S62" s="418">
        <f>SUM(D62+F62+H62+J62+L62+N62+P62+R62)</f>
        <v>0</v>
      </c>
    </row>
    <row r="63" spans="1:19" x14ac:dyDescent="0.25">
      <c r="A63" s="307" t="s">
        <v>702</v>
      </c>
      <c r="B63" s="277" t="s">
        <v>659</v>
      </c>
      <c r="C63" s="414" t="s">
        <v>653</v>
      </c>
      <c r="D63" s="415">
        <f t="shared" si="31"/>
        <v>0</v>
      </c>
      <c r="E63" s="414" t="s">
        <v>653</v>
      </c>
      <c r="F63" s="415">
        <f t="shared" si="32"/>
        <v>0</v>
      </c>
      <c r="G63" s="368" t="s">
        <v>653</v>
      </c>
      <c r="H63" s="419">
        <f>H19</f>
        <v>0</v>
      </c>
      <c r="I63" s="368" t="s">
        <v>653</v>
      </c>
      <c r="J63" s="415">
        <f t="shared" si="33"/>
        <v>0</v>
      </c>
      <c r="K63" s="368" t="s">
        <v>653</v>
      </c>
      <c r="L63" s="416">
        <f t="shared" si="34"/>
        <v>0</v>
      </c>
      <c r="M63" s="368" t="s">
        <v>653</v>
      </c>
      <c r="N63" s="416">
        <f t="shared" si="35"/>
        <v>0</v>
      </c>
      <c r="O63" s="368" t="s">
        <v>653</v>
      </c>
      <c r="P63" s="416">
        <f t="shared" si="36"/>
        <v>0</v>
      </c>
      <c r="Q63" s="368" t="s">
        <v>653</v>
      </c>
      <c r="R63" s="417">
        <f t="shared" si="37"/>
        <v>0</v>
      </c>
      <c r="S63" s="418">
        <f>SUM(D63,F63,H63,J63,L63,N63,P63,R63)</f>
        <v>0</v>
      </c>
    </row>
    <row r="64" spans="1:19" x14ac:dyDescent="0.25">
      <c r="A64" s="307" t="s">
        <v>703</v>
      </c>
      <c r="B64" s="277" t="s">
        <v>579</v>
      </c>
      <c r="C64" s="414" t="s">
        <v>653</v>
      </c>
      <c r="D64" s="415">
        <f t="shared" si="31"/>
        <v>0</v>
      </c>
      <c r="E64" s="414" t="s">
        <v>653</v>
      </c>
      <c r="F64" s="415">
        <f t="shared" si="32"/>
        <v>0</v>
      </c>
      <c r="G64" s="368" t="s">
        <v>653</v>
      </c>
      <c r="H64" s="368" t="s">
        <v>653</v>
      </c>
      <c r="I64" s="368" t="s">
        <v>653</v>
      </c>
      <c r="J64" s="415">
        <f t="shared" si="33"/>
        <v>0</v>
      </c>
      <c r="K64" s="368" t="s">
        <v>653</v>
      </c>
      <c r="L64" s="416">
        <f t="shared" si="34"/>
        <v>0</v>
      </c>
      <c r="M64" s="368" t="s">
        <v>653</v>
      </c>
      <c r="N64" s="416">
        <f t="shared" si="35"/>
        <v>0</v>
      </c>
      <c r="O64" s="368" t="s">
        <v>653</v>
      </c>
      <c r="P64" s="416">
        <f t="shared" si="36"/>
        <v>0</v>
      </c>
      <c r="Q64" s="368" t="s">
        <v>653</v>
      </c>
      <c r="R64" s="417">
        <f t="shared" si="37"/>
        <v>0</v>
      </c>
      <c r="S64" s="418">
        <f>SUM(D64,F64,J64,L64,N64,P64,R64)</f>
        <v>0</v>
      </c>
    </row>
    <row r="65" spans="1:19" x14ac:dyDescent="0.25">
      <c r="A65" s="307" t="s">
        <v>704</v>
      </c>
      <c r="B65" s="277" t="s">
        <v>585</v>
      </c>
      <c r="C65" s="414" t="s">
        <v>653</v>
      </c>
      <c r="D65" s="415">
        <f t="shared" si="31"/>
        <v>0</v>
      </c>
      <c r="E65" s="414" t="s">
        <v>653</v>
      </c>
      <c r="F65" s="415">
        <f t="shared" si="32"/>
        <v>0</v>
      </c>
      <c r="G65" s="368" t="s">
        <v>653</v>
      </c>
      <c r="H65" s="368" t="s">
        <v>653</v>
      </c>
      <c r="I65" s="368" t="s">
        <v>653</v>
      </c>
      <c r="J65" s="415">
        <f t="shared" si="33"/>
        <v>0</v>
      </c>
      <c r="K65" s="368" t="s">
        <v>653</v>
      </c>
      <c r="L65" s="416">
        <f t="shared" si="34"/>
        <v>0</v>
      </c>
      <c r="M65" s="368" t="s">
        <v>653</v>
      </c>
      <c r="N65" s="416">
        <f t="shared" si="35"/>
        <v>0</v>
      </c>
      <c r="O65" s="368" t="s">
        <v>653</v>
      </c>
      <c r="P65" s="416">
        <f t="shared" si="36"/>
        <v>0</v>
      </c>
      <c r="Q65" s="368" t="s">
        <v>653</v>
      </c>
      <c r="R65" s="417">
        <f t="shared" si="37"/>
        <v>0</v>
      </c>
      <c r="S65" s="418">
        <f>SUM(D65,F65,J65,L65,N65,P65,R65)</f>
        <v>0</v>
      </c>
    </row>
    <row r="66" spans="1:19" x14ac:dyDescent="0.25">
      <c r="A66" s="307" t="s">
        <v>705</v>
      </c>
      <c r="B66" s="277" t="s">
        <v>663</v>
      </c>
      <c r="C66" s="414" t="s">
        <v>653</v>
      </c>
      <c r="D66" s="415">
        <f t="shared" si="31"/>
        <v>424.18154429085928</v>
      </c>
      <c r="E66" s="414" t="s">
        <v>653</v>
      </c>
      <c r="F66" s="415">
        <f t="shared" si="32"/>
        <v>3492.1663844473119</v>
      </c>
      <c r="G66" s="368" t="s">
        <v>653</v>
      </c>
      <c r="H66" s="419">
        <f>H22</f>
        <v>25799.129199999999</v>
      </c>
      <c r="I66" s="368" t="s">
        <v>653</v>
      </c>
      <c r="J66" s="415">
        <f t="shared" si="33"/>
        <v>295.67351086579998</v>
      </c>
      <c r="K66" s="368" t="s">
        <v>653</v>
      </c>
      <c r="L66" s="416">
        <f t="shared" si="34"/>
        <v>576.2652171850001</v>
      </c>
      <c r="M66" s="368" t="s">
        <v>653</v>
      </c>
      <c r="N66" s="416">
        <f t="shared" si="35"/>
        <v>69.97784841299999</v>
      </c>
      <c r="O66" s="368" t="s">
        <v>653</v>
      </c>
      <c r="P66" s="416">
        <f t="shared" si="36"/>
        <v>12.209671485800001</v>
      </c>
      <c r="Q66" s="368" t="s">
        <v>653</v>
      </c>
      <c r="R66" s="417">
        <f t="shared" si="37"/>
        <v>0</v>
      </c>
      <c r="S66" s="418">
        <f>SUM(D66,F66,H66,J66,L66,N66,P66,R66)</f>
        <v>30669.60337668777</v>
      </c>
    </row>
    <row r="67" spans="1:19" ht="15.75" thickBot="1" x14ac:dyDescent="0.3">
      <c r="A67" s="323" t="s">
        <v>706</v>
      </c>
      <c r="B67" s="324" t="s">
        <v>596</v>
      </c>
      <c r="C67" s="420" t="s">
        <v>653</v>
      </c>
      <c r="D67" s="421">
        <f t="shared" si="31"/>
        <v>0</v>
      </c>
      <c r="E67" s="420" t="s">
        <v>653</v>
      </c>
      <c r="F67" s="421">
        <f t="shared" si="32"/>
        <v>0</v>
      </c>
      <c r="G67" s="377" t="s">
        <v>653</v>
      </c>
      <c r="H67" s="377" t="s">
        <v>653</v>
      </c>
      <c r="I67" s="377" t="s">
        <v>653</v>
      </c>
      <c r="J67" s="421">
        <f t="shared" si="33"/>
        <v>0</v>
      </c>
      <c r="K67" s="377" t="s">
        <v>653</v>
      </c>
      <c r="L67" s="422">
        <f t="shared" si="34"/>
        <v>0</v>
      </c>
      <c r="M67" s="377" t="s">
        <v>653</v>
      </c>
      <c r="N67" s="422">
        <f t="shared" si="35"/>
        <v>0</v>
      </c>
      <c r="O67" s="377" t="s">
        <v>653</v>
      </c>
      <c r="P67" s="422">
        <f t="shared" si="36"/>
        <v>0</v>
      </c>
      <c r="Q67" s="377" t="s">
        <v>653</v>
      </c>
      <c r="R67" s="423">
        <f>SUM(R23,R38,R53)</f>
        <v>0</v>
      </c>
      <c r="S67" s="424">
        <f>SUM(D67,F67,J67,L67,N67,P67,R67)</f>
        <v>0</v>
      </c>
    </row>
    <row r="68" spans="1:19" ht="26.25" thickTop="1" x14ac:dyDescent="0.25">
      <c r="A68" s="229" t="s">
        <v>178</v>
      </c>
      <c r="B68" s="333" t="s">
        <v>707</v>
      </c>
      <c r="C68" s="425" t="s">
        <v>653</v>
      </c>
      <c r="D68" s="383">
        <f>SUM(D69,D70)</f>
        <v>3270.3811157091409</v>
      </c>
      <c r="E68" s="425" t="s">
        <v>653</v>
      </c>
      <c r="F68" s="383">
        <f>SUM(F69,F70)</f>
        <v>1865.3099455526883</v>
      </c>
      <c r="G68" s="384" t="s">
        <v>653</v>
      </c>
      <c r="H68" s="383">
        <f>SUM(H69,H70)</f>
        <v>0</v>
      </c>
      <c r="I68" s="384" t="s">
        <v>653</v>
      </c>
      <c r="J68" s="383">
        <f>SUM(J69,J70)</f>
        <v>1652.6994691341999</v>
      </c>
      <c r="K68" s="384" t="s">
        <v>653</v>
      </c>
      <c r="L68" s="383">
        <f>SUM(L69,L70)</f>
        <v>3820.6920328150009</v>
      </c>
      <c r="M68" s="384" t="s">
        <v>653</v>
      </c>
      <c r="N68" s="383">
        <f>SUM(N69,N70)</f>
        <v>299.70270158699998</v>
      </c>
      <c r="O68" s="384" t="s">
        <v>653</v>
      </c>
      <c r="P68" s="383">
        <f>SUM(P69,P70)</f>
        <v>80.951258514200006</v>
      </c>
      <c r="Q68" s="384" t="s">
        <v>653</v>
      </c>
      <c r="R68" s="383">
        <f>SUM(R69,R70)</f>
        <v>0</v>
      </c>
      <c r="S68" s="386">
        <f>SUM(S69,S70)</f>
        <v>10989.736523312231</v>
      </c>
    </row>
    <row r="69" spans="1:19" x14ac:dyDescent="0.25">
      <c r="A69" s="307" t="s">
        <v>180</v>
      </c>
      <c r="B69" s="277" t="s">
        <v>667</v>
      </c>
      <c r="C69" s="414" t="s">
        <v>653</v>
      </c>
      <c r="D69" s="415">
        <f>SUM(D25,D40,D55)</f>
        <v>0</v>
      </c>
      <c r="E69" s="414" t="s">
        <v>653</v>
      </c>
      <c r="F69" s="415">
        <f>SUM(F25,F40,F55)</f>
        <v>0</v>
      </c>
      <c r="G69" s="368" t="s">
        <v>653</v>
      </c>
      <c r="H69" s="426">
        <f>SUM(H25,H40,H55)</f>
        <v>0</v>
      </c>
      <c r="I69" s="368" t="s">
        <v>653</v>
      </c>
      <c r="J69" s="415">
        <f>SUM(J25,J40,J55)</f>
        <v>0</v>
      </c>
      <c r="K69" s="368" t="s">
        <v>653</v>
      </c>
      <c r="L69" s="416">
        <f>SUM(L25,L40,L55)</f>
        <v>0</v>
      </c>
      <c r="M69" s="368" t="s">
        <v>653</v>
      </c>
      <c r="N69" s="416">
        <f>SUM(N25,N40,N55)</f>
        <v>0</v>
      </c>
      <c r="O69" s="368" t="s">
        <v>653</v>
      </c>
      <c r="P69" s="416">
        <f>SUM(P25,P40,P55)</f>
        <v>0</v>
      </c>
      <c r="Q69" s="368" t="s">
        <v>653</v>
      </c>
      <c r="R69" s="417">
        <f>SUM(R25,R40,R55)</f>
        <v>0</v>
      </c>
      <c r="S69" s="418">
        <f>SUM(D69,F69,H69,J69,L69,N69,P69,R69)</f>
        <v>0</v>
      </c>
    </row>
    <row r="70" spans="1:19" ht="15.75" thickBot="1" x14ac:dyDescent="0.3">
      <c r="A70" s="427" t="s">
        <v>708</v>
      </c>
      <c r="B70" s="428" t="s">
        <v>669</v>
      </c>
      <c r="C70" s="429" t="s">
        <v>653</v>
      </c>
      <c r="D70" s="430">
        <f>SUM(D26,D41,D56)</f>
        <v>3270.3811157091409</v>
      </c>
      <c r="E70" s="429" t="s">
        <v>653</v>
      </c>
      <c r="F70" s="430">
        <f>SUM(F26,F41,F56)</f>
        <v>1865.3099455526883</v>
      </c>
      <c r="G70" s="431" t="s">
        <v>653</v>
      </c>
      <c r="H70" s="432">
        <f>SUM(H26,H41,H56)</f>
        <v>0</v>
      </c>
      <c r="I70" s="431" t="s">
        <v>653</v>
      </c>
      <c r="J70" s="430">
        <f>SUM(J26,J41,J56)</f>
        <v>1652.6994691341999</v>
      </c>
      <c r="K70" s="431" t="s">
        <v>653</v>
      </c>
      <c r="L70" s="433">
        <f>SUM(L26,L41,L56)</f>
        <v>3820.6920328150009</v>
      </c>
      <c r="M70" s="431" t="s">
        <v>653</v>
      </c>
      <c r="N70" s="433">
        <f>SUM(N26,N41,N56)</f>
        <v>299.70270158699998</v>
      </c>
      <c r="O70" s="431" t="s">
        <v>653</v>
      </c>
      <c r="P70" s="433">
        <f>SUM(P26,P41,P56)</f>
        <v>80.951258514200006</v>
      </c>
      <c r="Q70" s="431" t="s">
        <v>653</v>
      </c>
      <c r="R70" s="434">
        <f>SUM(R26,R41,R56)</f>
        <v>0</v>
      </c>
      <c r="S70" s="435">
        <f>SUM(D70,F70,H70,J70,L70,N70,P70,R70)</f>
        <v>10989.736523312231</v>
      </c>
    </row>
  </sheetData>
  <sheetProtection algorithmName="SHA-512" hashValue="wWwQi5jimZgquEWwpZeChABe76PNGbO098PHNlt7ACkPq6oBucQ4vB3Y7PQlWzbEobZ45x5QVHW0YxQW6tvWVA==" saltValue="LEhp4Yo1oUUgDuvsXYa0+xO5CTqO3wY2XE9temQSTDB733hGROL/y6KBmieEx9k1sJmp5lbYjeHgUYnF5jPV3g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0"/>
  <sheetViews>
    <sheetView topLeftCell="A4" workbookViewId="0">
      <selection activeCell="F27" sqref="F27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2"/>
    </row>
    <row r="2" spans="1:21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2"/>
    </row>
    <row r="3" spans="1:21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5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66" t="s">
        <v>709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8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436" t="s">
        <v>645</v>
      </c>
      <c r="F8" s="1024" t="s">
        <v>710</v>
      </c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</row>
    <row r="9" spans="1:21" x14ac:dyDescent="0.25">
      <c r="A9" s="1026" t="s">
        <v>4</v>
      </c>
      <c r="B9" s="281" t="s">
        <v>647</v>
      </c>
      <c r="C9" s="1029" t="s">
        <v>648</v>
      </c>
      <c r="D9" s="1030"/>
      <c r="E9" s="1030"/>
      <c r="F9" s="1031"/>
      <c r="G9" s="1016" t="s">
        <v>649</v>
      </c>
      <c r="H9" s="1017"/>
      <c r="I9" s="1016" t="s">
        <v>37</v>
      </c>
      <c r="J9" s="1017"/>
      <c r="K9" s="1016" t="s">
        <v>39</v>
      </c>
      <c r="L9" s="1017"/>
      <c r="M9" s="1016" t="s">
        <v>532</v>
      </c>
      <c r="N9" s="1017"/>
      <c r="O9" s="1016" t="s">
        <v>544</v>
      </c>
      <c r="P9" s="1017"/>
      <c r="Q9" s="1022" t="s">
        <v>27</v>
      </c>
      <c r="R9" s="1017"/>
      <c r="S9" s="1014" t="s">
        <v>650</v>
      </c>
      <c r="U9" s="7"/>
    </row>
    <row r="10" spans="1:21" ht="24" customHeight="1" x14ac:dyDescent="0.25">
      <c r="A10" s="1027"/>
      <c r="B10" s="282"/>
      <c r="C10" s="1025" t="s">
        <v>651</v>
      </c>
      <c r="D10" s="1025"/>
      <c r="E10" s="1025" t="s">
        <v>31</v>
      </c>
      <c r="F10" s="1025"/>
      <c r="G10" s="1018"/>
      <c r="H10" s="1019"/>
      <c r="I10" s="1018"/>
      <c r="J10" s="1019"/>
      <c r="K10" s="1018"/>
      <c r="L10" s="1019"/>
      <c r="M10" s="1018"/>
      <c r="N10" s="1019"/>
      <c r="O10" s="1020"/>
      <c r="P10" s="1021"/>
      <c r="Q10" s="1023"/>
      <c r="R10" s="1021"/>
      <c r="S10" s="1015"/>
      <c r="U10" s="7"/>
    </row>
    <row r="11" spans="1:21" ht="24.75" customHeight="1" thickBot="1" x14ac:dyDescent="0.3">
      <c r="A11" s="1028"/>
      <c r="B11" s="283" t="s">
        <v>652</v>
      </c>
      <c r="C11" s="284" t="s">
        <v>186</v>
      </c>
      <c r="D11" s="284" t="s">
        <v>645</v>
      </c>
      <c r="E11" s="284" t="s">
        <v>186</v>
      </c>
      <c r="F11" s="284" t="s">
        <v>645</v>
      </c>
      <c r="G11" s="284" t="s">
        <v>653</v>
      </c>
      <c r="H11" s="284" t="s">
        <v>653</v>
      </c>
      <c r="I11" s="284" t="s">
        <v>186</v>
      </c>
      <c r="J11" s="284" t="s">
        <v>645</v>
      </c>
      <c r="K11" s="284" t="s">
        <v>186</v>
      </c>
      <c r="L11" s="284" t="s">
        <v>645</v>
      </c>
      <c r="M11" s="284" t="s">
        <v>186</v>
      </c>
      <c r="N11" s="284" t="s">
        <v>645</v>
      </c>
      <c r="O11" s="284" t="s">
        <v>186</v>
      </c>
      <c r="P11" s="284" t="s">
        <v>645</v>
      </c>
      <c r="Q11" s="284" t="s">
        <v>186</v>
      </c>
      <c r="R11" s="284" t="s">
        <v>645</v>
      </c>
      <c r="S11" s="285" t="s">
        <v>645</v>
      </c>
      <c r="U11" s="7"/>
    </row>
    <row r="12" spans="1:21" ht="15.75" thickBot="1" x14ac:dyDescent="0.3">
      <c r="A12" s="286">
        <v>1</v>
      </c>
      <c r="B12" s="287">
        <v>2</v>
      </c>
      <c r="C12" s="287">
        <v>3</v>
      </c>
      <c r="D12" s="288">
        <v>4</v>
      </c>
      <c r="E12" s="288">
        <v>5</v>
      </c>
      <c r="F12" s="288">
        <v>6</v>
      </c>
      <c r="G12" s="288">
        <v>7</v>
      </c>
      <c r="H12" s="289">
        <v>8</v>
      </c>
      <c r="I12" s="289">
        <v>9</v>
      </c>
      <c r="J12" s="289">
        <v>10</v>
      </c>
      <c r="K12" s="289">
        <v>11</v>
      </c>
      <c r="L12" s="289">
        <v>12</v>
      </c>
      <c r="M12" s="289">
        <v>13</v>
      </c>
      <c r="N12" s="287">
        <v>14</v>
      </c>
      <c r="O12" s="287">
        <v>15</v>
      </c>
      <c r="P12" s="289">
        <v>16</v>
      </c>
      <c r="Q12" s="290">
        <v>17</v>
      </c>
      <c r="R12" s="290">
        <v>18</v>
      </c>
      <c r="S12" s="291">
        <v>19</v>
      </c>
      <c r="U12" s="7"/>
    </row>
    <row r="13" spans="1:21" ht="29.25" thickBot="1" x14ac:dyDescent="0.3">
      <c r="A13" s="292" t="s">
        <v>347</v>
      </c>
      <c r="B13" s="293" t="s">
        <v>711</v>
      </c>
      <c r="C13" s="294" t="s">
        <v>653</v>
      </c>
      <c r="D13" s="295">
        <f>SUM(D14,D24)</f>
        <v>389.49099000000001</v>
      </c>
      <c r="E13" s="296" t="s">
        <v>653</v>
      </c>
      <c r="F13" s="295">
        <f>SUM(F14,F24)</f>
        <v>2855.3129500000005</v>
      </c>
      <c r="G13" s="297" t="s">
        <v>653</v>
      </c>
      <c r="H13" s="295">
        <f>SUM(H14,H24)</f>
        <v>14081.50049</v>
      </c>
      <c r="I13" s="298" t="s">
        <v>653</v>
      </c>
      <c r="J13" s="295">
        <f>SUM(J14,J24)</f>
        <v>34.270910000000001</v>
      </c>
      <c r="K13" s="298" t="s">
        <v>653</v>
      </c>
      <c r="L13" s="295">
        <f>SUM(L14,L24)</f>
        <v>0</v>
      </c>
      <c r="M13" s="298" t="s">
        <v>653</v>
      </c>
      <c r="N13" s="295">
        <f>SUM(N14,N24)</f>
        <v>59.555669999999999</v>
      </c>
      <c r="O13" s="297" t="s">
        <v>653</v>
      </c>
      <c r="P13" s="295">
        <f>SUM(P14,P24)</f>
        <v>0</v>
      </c>
      <c r="Q13" s="299" t="s">
        <v>653</v>
      </c>
      <c r="R13" s="295">
        <f>SUM(R14,R24)</f>
        <v>0</v>
      </c>
      <c r="S13" s="300">
        <f>SUM(D13,F13,H13,J13,L13,N13,P13,R13)</f>
        <v>17420.131010000001</v>
      </c>
      <c r="U13" s="7"/>
    </row>
    <row r="14" spans="1:21" ht="26.25" thickTop="1" x14ac:dyDescent="0.25">
      <c r="A14" s="229" t="s">
        <v>285</v>
      </c>
      <c r="B14" s="301" t="s">
        <v>712</v>
      </c>
      <c r="C14" s="302" t="s">
        <v>653</v>
      </c>
      <c r="D14" s="303">
        <f>SUM(D15:D23)</f>
        <v>40.363680000000002</v>
      </c>
      <c r="E14" s="302" t="s">
        <v>653</v>
      </c>
      <c r="F14" s="303">
        <f>SUM(F15:F23)</f>
        <v>2788.6861400000003</v>
      </c>
      <c r="G14" s="304" t="s">
        <v>653</v>
      </c>
      <c r="H14" s="303">
        <f>SUM(H18,H19,H22)</f>
        <v>14081.50049</v>
      </c>
      <c r="I14" s="304" t="s">
        <v>653</v>
      </c>
      <c r="J14" s="303">
        <f>SUM(J15:J23)</f>
        <v>33.801580000000001</v>
      </c>
      <c r="K14" s="304" t="s">
        <v>653</v>
      </c>
      <c r="L14" s="305">
        <f>SUM(L15,L16,L17,L18,L19,L20,L21,L22,L23)</f>
        <v>0</v>
      </c>
      <c r="M14" s="304" t="s">
        <v>653</v>
      </c>
      <c r="N14" s="303">
        <f>SUM(N15:N23)</f>
        <v>19.982340000000001</v>
      </c>
      <c r="O14" s="304" t="s">
        <v>653</v>
      </c>
      <c r="P14" s="303">
        <f>SUM(P15:P23)</f>
        <v>0</v>
      </c>
      <c r="Q14" s="304" t="s">
        <v>653</v>
      </c>
      <c r="R14" s="303">
        <f>SUM(R15:R23)</f>
        <v>0</v>
      </c>
      <c r="S14" s="306">
        <f>SUM(D14,F14,H14,J14,L14,N14,P14,R14)</f>
        <v>16964.334229999997</v>
      </c>
    </row>
    <row r="15" spans="1:21" x14ac:dyDescent="0.25">
      <c r="A15" s="307" t="s">
        <v>287</v>
      </c>
      <c r="B15" s="277" t="s">
        <v>598</v>
      </c>
      <c r="C15" s="116" t="s">
        <v>653</v>
      </c>
      <c r="D15" s="308">
        <v>0</v>
      </c>
      <c r="E15" s="116" t="s">
        <v>653</v>
      </c>
      <c r="F15" s="308">
        <v>0</v>
      </c>
      <c r="G15" s="309" t="s">
        <v>653</v>
      </c>
      <c r="H15" s="310" t="s">
        <v>653</v>
      </c>
      <c r="I15" s="309" t="s">
        <v>653</v>
      </c>
      <c r="J15" s="311">
        <v>0</v>
      </c>
      <c r="K15" s="309" t="s">
        <v>653</v>
      </c>
      <c r="L15" s="311">
        <v>0</v>
      </c>
      <c r="M15" s="309" t="s">
        <v>653</v>
      </c>
      <c r="N15" s="312">
        <v>0</v>
      </c>
      <c r="O15" s="309" t="s">
        <v>653</v>
      </c>
      <c r="P15" s="311">
        <v>0</v>
      </c>
      <c r="Q15" s="309" t="s">
        <v>653</v>
      </c>
      <c r="R15" s="311">
        <v>0</v>
      </c>
      <c r="S15" s="313">
        <f>SUM(D15,F15,J15,L15,N15,P15,R15)</f>
        <v>0</v>
      </c>
    </row>
    <row r="16" spans="1:21" x14ac:dyDescent="0.25">
      <c r="A16" s="307" t="s">
        <v>289</v>
      </c>
      <c r="B16" s="277" t="s">
        <v>656</v>
      </c>
      <c r="C16" s="314" t="s">
        <v>653</v>
      </c>
      <c r="D16" s="315">
        <v>0</v>
      </c>
      <c r="E16" s="314" t="s">
        <v>653</v>
      </c>
      <c r="F16" s="315">
        <v>0</v>
      </c>
      <c r="G16" s="316" t="s">
        <v>653</v>
      </c>
      <c r="H16" s="317" t="s">
        <v>653</v>
      </c>
      <c r="I16" s="316" t="s">
        <v>653</v>
      </c>
      <c r="J16" s="318">
        <v>0</v>
      </c>
      <c r="K16" s="316" t="s">
        <v>653</v>
      </c>
      <c r="L16" s="311">
        <v>0</v>
      </c>
      <c r="M16" s="316" t="s">
        <v>653</v>
      </c>
      <c r="N16" s="312">
        <v>0</v>
      </c>
      <c r="O16" s="316" t="s">
        <v>653</v>
      </c>
      <c r="P16" s="311">
        <v>0</v>
      </c>
      <c r="Q16" s="316" t="s">
        <v>653</v>
      </c>
      <c r="R16" s="311">
        <v>0</v>
      </c>
      <c r="S16" s="313">
        <f>SUM(D16,F16,J16,L16,N16,P16,R16)</f>
        <v>0</v>
      </c>
    </row>
    <row r="17" spans="1:19" x14ac:dyDescent="0.25">
      <c r="A17" s="307" t="s">
        <v>291</v>
      </c>
      <c r="B17" s="277" t="s">
        <v>606</v>
      </c>
      <c r="C17" s="314" t="s">
        <v>653</v>
      </c>
      <c r="D17" s="315">
        <v>0</v>
      </c>
      <c r="E17" s="314" t="s">
        <v>653</v>
      </c>
      <c r="F17" s="315">
        <v>0</v>
      </c>
      <c r="G17" s="316" t="s">
        <v>653</v>
      </c>
      <c r="H17" s="317" t="s">
        <v>653</v>
      </c>
      <c r="I17" s="316" t="s">
        <v>653</v>
      </c>
      <c r="J17" s="318">
        <v>0</v>
      </c>
      <c r="K17" s="316" t="s">
        <v>653</v>
      </c>
      <c r="L17" s="311">
        <v>0</v>
      </c>
      <c r="M17" s="316" t="s">
        <v>653</v>
      </c>
      <c r="N17" s="312">
        <v>0</v>
      </c>
      <c r="O17" s="316" t="s">
        <v>653</v>
      </c>
      <c r="P17" s="311">
        <v>0</v>
      </c>
      <c r="Q17" s="316" t="s">
        <v>653</v>
      </c>
      <c r="R17" s="311">
        <v>0</v>
      </c>
      <c r="S17" s="313">
        <f>SUM(D17,F17,J17,L17,N17,P17,R17)</f>
        <v>0</v>
      </c>
    </row>
    <row r="18" spans="1:19" x14ac:dyDescent="0.25">
      <c r="A18" s="307" t="s">
        <v>657</v>
      </c>
      <c r="B18" s="277" t="s">
        <v>575</v>
      </c>
      <c r="C18" s="314" t="s">
        <v>653</v>
      </c>
      <c r="D18" s="315">
        <v>0</v>
      </c>
      <c r="E18" s="314" t="s">
        <v>653</v>
      </c>
      <c r="F18" s="315">
        <v>0</v>
      </c>
      <c r="G18" s="316" t="s">
        <v>653</v>
      </c>
      <c r="H18" s="318">
        <v>0</v>
      </c>
      <c r="I18" s="316" t="s">
        <v>653</v>
      </c>
      <c r="J18" s="318">
        <v>0</v>
      </c>
      <c r="K18" s="316" t="s">
        <v>653</v>
      </c>
      <c r="L18" s="318">
        <v>0</v>
      </c>
      <c r="M18" s="316" t="s">
        <v>653</v>
      </c>
      <c r="N18" s="312">
        <v>0</v>
      </c>
      <c r="O18" s="316" t="s">
        <v>653</v>
      </c>
      <c r="P18" s="311">
        <v>0</v>
      </c>
      <c r="Q18" s="316" t="s">
        <v>653</v>
      </c>
      <c r="R18" s="311">
        <v>0</v>
      </c>
      <c r="S18" s="313">
        <f>SUM(D18,F18,J18,L18,N18,P18,R18,H18)</f>
        <v>0</v>
      </c>
    </row>
    <row r="19" spans="1:19" x14ac:dyDescent="0.25">
      <c r="A19" s="307" t="s">
        <v>658</v>
      </c>
      <c r="B19" s="277" t="s">
        <v>659</v>
      </c>
      <c r="C19" s="314" t="s">
        <v>653</v>
      </c>
      <c r="D19" s="315">
        <v>0</v>
      </c>
      <c r="E19" s="314" t="s">
        <v>653</v>
      </c>
      <c r="F19" s="315">
        <v>0</v>
      </c>
      <c r="G19" s="316" t="s">
        <v>653</v>
      </c>
      <c r="H19" s="318">
        <v>0</v>
      </c>
      <c r="I19" s="316" t="s">
        <v>653</v>
      </c>
      <c r="J19" s="318">
        <v>0</v>
      </c>
      <c r="K19" s="316" t="s">
        <v>653</v>
      </c>
      <c r="L19" s="318">
        <v>0</v>
      </c>
      <c r="M19" s="316" t="s">
        <v>653</v>
      </c>
      <c r="N19" s="312">
        <v>0</v>
      </c>
      <c r="O19" s="316" t="s">
        <v>653</v>
      </c>
      <c r="P19" s="311">
        <v>0</v>
      </c>
      <c r="Q19" s="316" t="s">
        <v>653</v>
      </c>
      <c r="R19" s="311">
        <v>0</v>
      </c>
      <c r="S19" s="313">
        <f>SUM(D19,F19,J19,L19,N19,P19,R19,H19)</f>
        <v>0</v>
      </c>
    </row>
    <row r="20" spans="1:19" x14ac:dyDescent="0.25">
      <c r="A20" s="307" t="s">
        <v>660</v>
      </c>
      <c r="B20" s="277" t="s">
        <v>579</v>
      </c>
      <c r="C20" s="314" t="s">
        <v>653</v>
      </c>
      <c r="D20" s="315">
        <v>0</v>
      </c>
      <c r="E20" s="314" t="s">
        <v>653</v>
      </c>
      <c r="F20" s="315">
        <v>0</v>
      </c>
      <c r="G20" s="316" t="s">
        <v>653</v>
      </c>
      <c r="H20" s="317" t="s">
        <v>653</v>
      </c>
      <c r="I20" s="316" t="s">
        <v>653</v>
      </c>
      <c r="J20" s="318">
        <v>0</v>
      </c>
      <c r="K20" s="316" t="s">
        <v>653</v>
      </c>
      <c r="L20" s="311">
        <v>0</v>
      </c>
      <c r="M20" s="316" t="s">
        <v>653</v>
      </c>
      <c r="N20" s="312">
        <v>0</v>
      </c>
      <c r="O20" s="316" t="s">
        <v>653</v>
      </c>
      <c r="P20" s="311">
        <v>0</v>
      </c>
      <c r="Q20" s="316" t="s">
        <v>653</v>
      </c>
      <c r="R20" s="311">
        <v>0</v>
      </c>
      <c r="S20" s="313">
        <f>SUM(D20,F20,J20,L20,N20,P20,R20)</f>
        <v>0</v>
      </c>
    </row>
    <row r="21" spans="1:19" x14ac:dyDescent="0.25">
      <c r="A21" s="307" t="s">
        <v>661</v>
      </c>
      <c r="B21" s="277" t="s">
        <v>585</v>
      </c>
      <c r="C21" s="314" t="s">
        <v>653</v>
      </c>
      <c r="D21" s="315">
        <v>0</v>
      </c>
      <c r="E21" s="314" t="s">
        <v>653</v>
      </c>
      <c r="F21" s="315">
        <v>0</v>
      </c>
      <c r="G21" s="316" t="s">
        <v>653</v>
      </c>
      <c r="H21" s="317" t="s">
        <v>653</v>
      </c>
      <c r="I21" s="316" t="s">
        <v>653</v>
      </c>
      <c r="J21" s="318">
        <v>0</v>
      </c>
      <c r="K21" s="316" t="s">
        <v>653</v>
      </c>
      <c r="L21" s="318">
        <v>0</v>
      </c>
      <c r="M21" s="316" t="s">
        <v>653</v>
      </c>
      <c r="N21" s="312">
        <v>0</v>
      </c>
      <c r="O21" s="316" t="s">
        <v>653</v>
      </c>
      <c r="P21" s="311">
        <v>0</v>
      </c>
      <c r="Q21" s="316" t="s">
        <v>653</v>
      </c>
      <c r="R21" s="311">
        <v>0</v>
      </c>
      <c r="S21" s="313">
        <f>SUM(D21,F21,J21,L21,N21,P21,R21)</f>
        <v>0</v>
      </c>
    </row>
    <row r="22" spans="1:19" x14ac:dyDescent="0.25">
      <c r="A22" s="307" t="s">
        <v>662</v>
      </c>
      <c r="B22" s="277" t="s">
        <v>663</v>
      </c>
      <c r="C22" s="319" t="s">
        <v>653</v>
      </c>
      <c r="D22" s="320">
        <f>'[1] Bal 18'!$H$21/1000</f>
        <v>40.363680000000002</v>
      </c>
      <c r="E22" s="319" t="s">
        <v>653</v>
      </c>
      <c r="F22" s="320">
        <f>'[1] Bal 18'!$H$22/1000</f>
        <v>2788.6861400000003</v>
      </c>
      <c r="G22" s="321" t="s">
        <v>653</v>
      </c>
      <c r="H22" s="322">
        <f>'[1] Bal 18'!$H$29/1000</f>
        <v>14081.50049</v>
      </c>
      <c r="I22" s="321" t="s">
        <v>653</v>
      </c>
      <c r="J22" s="322">
        <f>'[1] Bal 18'!$H$31/1000</f>
        <v>33.801580000000001</v>
      </c>
      <c r="K22" s="321" t="s">
        <v>653</v>
      </c>
      <c r="L22" s="322">
        <f>'[1] Bal 18'!$H$38</f>
        <v>0</v>
      </c>
      <c r="M22" s="321" t="s">
        <v>653</v>
      </c>
      <c r="N22" s="312">
        <f>('[1] Bal 18'!$H$41+'[1] Bal 18'!$H$46)/1000</f>
        <v>19.982340000000001</v>
      </c>
      <c r="O22" s="321" t="s">
        <v>653</v>
      </c>
      <c r="P22" s="311">
        <v>0</v>
      </c>
      <c r="Q22" s="321" t="s">
        <v>653</v>
      </c>
      <c r="R22" s="311">
        <v>0</v>
      </c>
      <c r="S22" s="313">
        <f>SUM(D22,F22,J22,L22,N22,P22,R22,H22)</f>
        <v>16964.33423</v>
      </c>
    </row>
    <row r="23" spans="1:19" ht="15.75" thickBot="1" x14ac:dyDescent="0.3">
      <c r="A23" s="323" t="s">
        <v>664</v>
      </c>
      <c r="B23" s="324" t="s">
        <v>596</v>
      </c>
      <c r="C23" s="325" t="s">
        <v>653</v>
      </c>
      <c r="D23" s="326">
        <v>0</v>
      </c>
      <c r="E23" s="325" t="s">
        <v>653</v>
      </c>
      <c r="F23" s="326">
        <v>0</v>
      </c>
      <c r="G23" s="327" t="s">
        <v>653</v>
      </c>
      <c r="H23" s="328" t="s">
        <v>653</v>
      </c>
      <c r="I23" s="327" t="s">
        <v>653</v>
      </c>
      <c r="J23" s="329">
        <v>0</v>
      </c>
      <c r="K23" s="327" t="s">
        <v>653</v>
      </c>
      <c r="L23" s="329">
        <v>0</v>
      </c>
      <c r="M23" s="327" t="s">
        <v>653</v>
      </c>
      <c r="N23" s="330">
        <v>0</v>
      </c>
      <c r="O23" s="327" t="s">
        <v>653</v>
      </c>
      <c r="P23" s="331">
        <v>0</v>
      </c>
      <c r="Q23" s="327" t="s">
        <v>653</v>
      </c>
      <c r="R23" s="311">
        <v>0</v>
      </c>
      <c r="S23" s="332">
        <f>SUM(D23,F23,J23,L23,N23,P23,R23)</f>
        <v>0</v>
      </c>
    </row>
    <row r="24" spans="1:19" ht="26.25" thickTop="1" x14ac:dyDescent="0.25">
      <c r="A24" s="229" t="s">
        <v>295</v>
      </c>
      <c r="B24" s="333" t="s">
        <v>713</v>
      </c>
      <c r="C24" s="334" t="s">
        <v>653</v>
      </c>
      <c r="D24" s="335">
        <f>SUM(D25,D26)</f>
        <v>349.12731000000002</v>
      </c>
      <c r="E24" s="334" t="s">
        <v>653</v>
      </c>
      <c r="F24" s="335">
        <f>SUM(F25,F26)</f>
        <v>66.626809999999992</v>
      </c>
      <c r="G24" s="230" t="s">
        <v>653</v>
      </c>
      <c r="H24" s="335">
        <f>SUM(H25,H26)</f>
        <v>0</v>
      </c>
      <c r="I24" s="230" t="s">
        <v>653</v>
      </c>
      <c r="J24" s="335">
        <f>SUM(J25,J26)</f>
        <v>0.46933000000000002</v>
      </c>
      <c r="K24" s="230" t="s">
        <v>653</v>
      </c>
      <c r="L24" s="335">
        <f>SUM(L25,L26)</f>
        <v>0</v>
      </c>
      <c r="M24" s="230" t="s">
        <v>653</v>
      </c>
      <c r="N24" s="335">
        <f>SUM(N25,N26)</f>
        <v>39.573329999999999</v>
      </c>
      <c r="O24" s="230" t="s">
        <v>653</v>
      </c>
      <c r="P24" s="335">
        <f>SUM(P25,P26)</f>
        <v>0</v>
      </c>
      <c r="Q24" s="230" t="s">
        <v>653</v>
      </c>
      <c r="R24" s="335">
        <f>SUM(R25,R26)</f>
        <v>0</v>
      </c>
      <c r="S24" s="336">
        <f>SUM(D24,F24,H24,J24,L24,N24,P24,R24)</f>
        <v>455.79678000000001</v>
      </c>
    </row>
    <row r="25" spans="1:19" x14ac:dyDescent="0.25">
      <c r="A25" s="307" t="s">
        <v>666</v>
      </c>
      <c r="B25" s="277" t="s">
        <v>667</v>
      </c>
      <c r="C25" s="116" t="s">
        <v>653</v>
      </c>
      <c r="D25" s="337">
        <v>0</v>
      </c>
      <c r="E25" s="116" t="s">
        <v>653</v>
      </c>
      <c r="F25" s="337">
        <v>0</v>
      </c>
      <c r="G25" s="13" t="s">
        <v>653</v>
      </c>
      <c r="H25" s="338">
        <v>0</v>
      </c>
      <c r="I25" s="13" t="s">
        <v>653</v>
      </c>
      <c r="J25" s="338">
        <v>0</v>
      </c>
      <c r="K25" s="13" t="s">
        <v>653</v>
      </c>
      <c r="L25" s="338">
        <v>0</v>
      </c>
      <c r="M25" s="13" t="s">
        <v>653</v>
      </c>
      <c r="N25" s="339">
        <v>0</v>
      </c>
      <c r="O25" s="13" t="s">
        <v>653</v>
      </c>
      <c r="P25" s="338">
        <v>0</v>
      </c>
      <c r="Q25" s="13" t="s">
        <v>653</v>
      </c>
      <c r="R25" s="340">
        <v>0</v>
      </c>
      <c r="S25" s="341">
        <f>SUM(D25,F25,H25,J25,L25,N25,P25,R25)</f>
        <v>0</v>
      </c>
    </row>
    <row r="26" spans="1:19" ht="15.75" thickBot="1" x14ac:dyDescent="0.3">
      <c r="A26" s="323" t="s">
        <v>668</v>
      </c>
      <c r="B26" s="324" t="s">
        <v>669</v>
      </c>
      <c r="C26" s="325" t="s">
        <v>653</v>
      </c>
      <c r="D26" s="326">
        <f>'[1] Bal 18'!$J$21/1000</f>
        <v>349.12731000000002</v>
      </c>
      <c r="E26" s="325" t="s">
        <v>653</v>
      </c>
      <c r="F26" s="342">
        <f>'[1] Bal 18'!$J$22/1000</f>
        <v>66.626809999999992</v>
      </c>
      <c r="G26" s="343" t="s">
        <v>653</v>
      </c>
      <c r="H26" s="344">
        <f>'[1] Bal 18'!$J$28/1000</f>
        <v>0</v>
      </c>
      <c r="I26" s="343" t="s">
        <v>653</v>
      </c>
      <c r="J26" s="344">
        <f>'[1] Bal 18'!$J$31/1000</f>
        <v>0.46933000000000002</v>
      </c>
      <c r="K26" s="343" t="s">
        <v>653</v>
      </c>
      <c r="L26" s="344">
        <f>'[1] Bal 18'!$J$38/1000</f>
        <v>0</v>
      </c>
      <c r="M26" s="343" t="s">
        <v>653</v>
      </c>
      <c r="N26" s="345">
        <f>('[1] Bal 18'!$J$41+'[1] Bal 18'!$J$46)/1000</f>
        <v>39.573329999999999</v>
      </c>
      <c r="O26" s="343" t="s">
        <v>653</v>
      </c>
      <c r="P26" s="346">
        <v>0</v>
      </c>
      <c r="Q26" s="343" t="s">
        <v>653</v>
      </c>
      <c r="R26" s="346">
        <v>0</v>
      </c>
      <c r="S26" s="332">
        <f>SUM(D26,F26,H26,J26,L26,N26,P26,R26)</f>
        <v>455.79678000000001</v>
      </c>
    </row>
    <row r="27" spans="1:19" ht="30" thickTop="1" thickBot="1" x14ac:dyDescent="0.3">
      <c r="A27" s="347" t="s">
        <v>351</v>
      </c>
      <c r="B27" s="348" t="s">
        <v>714</v>
      </c>
      <c r="C27" s="349">
        <f>SUM(C30:C38,C40,C41)</f>
        <v>100</v>
      </c>
      <c r="D27" s="350">
        <f>'[1] Bal 18'!$L$21/1000</f>
        <v>669.46379000000002</v>
      </c>
      <c r="E27" s="349">
        <f>SUM(E30:E38,E40,E41)</f>
        <v>100</v>
      </c>
      <c r="F27" s="350">
        <f>'[1] Bal 18'!$L$22/1000</f>
        <v>755.37330000000009</v>
      </c>
      <c r="G27" s="351" t="s">
        <v>653</v>
      </c>
      <c r="H27" s="352" t="s">
        <v>653</v>
      </c>
      <c r="I27" s="351">
        <f>SUM(I30:I38,I40,I41)</f>
        <v>100</v>
      </c>
      <c r="J27" s="353">
        <f>'[1] Bal 18'!$L$31/1000</f>
        <v>664.94220999999993</v>
      </c>
      <c r="K27" s="351">
        <f>SUM(K30:K38,K40,K41)</f>
        <v>100</v>
      </c>
      <c r="L27" s="353">
        <f>'[1] Bal 18'!$L$38/1000</f>
        <v>1143.0387599999999</v>
      </c>
      <c r="M27" s="351">
        <f>SUM(M30:M38,M40,M41)</f>
        <v>100</v>
      </c>
      <c r="N27" s="350">
        <f>('[1] Bal 18'!$L$41+'[1] Bal 18'!$L$46)/1000</f>
        <v>84.529459999999986</v>
      </c>
      <c r="O27" s="351">
        <f>SUM(O30:O38,O40,O41)</f>
        <v>100</v>
      </c>
      <c r="P27" s="353">
        <f>('[1]330'!$I$25+'[1]330'!$I$31)/1000</f>
        <v>26.213729999999998</v>
      </c>
      <c r="Q27" s="351">
        <f>SUM(Q30:Q38,Q40,Q41)</f>
        <v>100</v>
      </c>
      <c r="R27" s="353">
        <v>0</v>
      </c>
      <c r="S27" s="355">
        <f>SUM(D27,F27,J27,L27,N27,P27,R27)</f>
        <v>3343.5612500000002</v>
      </c>
    </row>
    <row r="28" spans="1:19" ht="30" customHeight="1" thickTop="1" x14ac:dyDescent="0.25">
      <c r="A28" s="1009" t="s">
        <v>671</v>
      </c>
      <c r="B28" s="1010"/>
      <c r="C28" s="1007" t="s">
        <v>1628</v>
      </c>
      <c r="D28" s="1008"/>
      <c r="E28" s="1007" t="s">
        <v>1628</v>
      </c>
      <c r="F28" s="1008"/>
      <c r="G28" s="356" t="s">
        <v>653</v>
      </c>
      <c r="H28" s="356" t="s">
        <v>653</v>
      </c>
      <c r="I28" s="1007" t="s">
        <v>1628</v>
      </c>
      <c r="J28" s="1008"/>
      <c r="K28" s="1007" t="s">
        <v>1628</v>
      </c>
      <c r="L28" s="1008"/>
      <c r="M28" s="1007" t="s">
        <v>1628</v>
      </c>
      <c r="N28" s="1008"/>
      <c r="O28" s="1007" t="s">
        <v>1628</v>
      </c>
      <c r="P28" s="1008"/>
      <c r="Q28" s="1007" t="s">
        <v>1628</v>
      </c>
      <c r="R28" s="1008"/>
      <c r="S28" s="357" t="s">
        <v>653</v>
      </c>
    </row>
    <row r="29" spans="1:19" ht="25.5" x14ac:dyDescent="0.25">
      <c r="A29" s="358" t="s">
        <v>300</v>
      </c>
      <c r="B29" s="359" t="s">
        <v>715</v>
      </c>
      <c r="C29" s="360">
        <f>SUM(C30:C38)</f>
        <v>13.106</v>
      </c>
      <c r="D29" s="361">
        <f>SUM(D30:D38)</f>
        <v>87.739924317399996</v>
      </c>
      <c r="E29" s="360">
        <f>SUM(E30:E38)</f>
        <v>13.106</v>
      </c>
      <c r="F29" s="361">
        <f>SUM(F30:F38)</f>
        <v>98.99922469800002</v>
      </c>
      <c r="G29" s="362" t="s">
        <v>653</v>
      </c>
      <c r="H29" s="362" t="s">
        <v>653</v>
      </c>
      <c r="I29" s="363">
        <f t="shared" ref="I29:S29" si="0">SUM(I30:I38)</f>
        <v>13.106</v>
      </c>
      <c r="J29" s="361">
        <f t="shared" si="0"/>
        <v>87.1473260426</v>
      </c>
      <c r="K29" s="363">
        <f t="shared" si="0"/>
        <v>13.106</v>
      </c>
      <c r="L29" s="361">
        <f t="shared" si="0"/>
        <v>149.80665988559997</v>
      </c>
      <c r="M29" s="363">
        <f t="shared" si="0"/>
        <v>13.106</v>
      </c>
      <c r="N29" s="361">
        <f t="shared" si="0"/>
        <v>11.078431027599997</v>
      </c>
      <c r="O29" s="363">
        <f t="shared" si="0"/>
        <v>13.106</v>
      </c>
      <c r="P29" s="361">
        <f t="shared" si="0"/>
        <v>3.4355714537999997</v>
      </c>
      <c r="Q29" s="363">
        <f t="shared" si="0"/>
        <v>13.106</v>
      </c>
      <c r="R29" s="361">
        <f t="shared" si="0"/>
        <v>0</v>
      </c>
      <c r="S29" s="364">
        <f t="shared" si="0"/>
        <v>438.20713742499998</v>
      </c>
    </row>
    <row r="30" spans="1:19" x14ac:dyDescent="0.25">
      <c r="A30" s="307" t="s">
        <v>302</v>
      </c>
      <c r="B30" s="277" t="s">
        <v>598</v>
      </c>
      <c r="C30" s="365">
        <v>0</v>
      </c>
      <c r="D30" s="366">
        <f>$D$27*C30/100</f>
        <v>0</v>
      </c>
      <c r="E30" s="367">
        <v>0</v>
      </c>
      <c r="F30" s="366">
        <f>$F$27*E30/100</f>
        <v>0</v>
      </c>
      <c r="G30" s="368" t="s">
        <v>653</v>
      </c>
      <c r="H30" s="368" t="s">
        <v>653</v>
      </c>
      <c r="I30" s="369">
        <v>0</v>
      </c>
      <c r="J30" s="366">
        <f>$J$27*I30/100</f>
        <v>0</v>
      </c>
      <c r="K30" s="370">
        <v>0</v>
      </c>
      <c r="L30" s="366">
        <f>$L$27*K30/100</f>
        <v>0</v>
      </c>
      <c r="M30" s="371">
        <v>0</v>
      </c>
      <c r="N30" s="366">
        <f>$N$27*M30/100</f>
        <v>0</v>
      </c>
      <c r="O30" s="371">
        <v>0</v>
      </c>
      <c r="P30" s="366">
        <f>$P$27*O30/100</f>
        <v>0</v>
      </c>
      <c r="Q30" s="372">
        <v>0</v>
      </c>
      <c r="R30" s="366">
        <f>$R$27*Q30/100</f>
        <v>0</v>
      </c>
      <c r="S30" s="373">
        <f>SUM(D30,F30,J30,L30,N30,P30,R30)</f>
        <v>0</v>
      </c>
    </row>
    <row r="31" spans="1:19" x14ac:dyDescent="0.25">
      <c r="A31" s="307" t="s">
        <v>306</v>
      </c>
      <c r="B31" s="277" t="s">
        <v>656</v>
      </c>
      <c r="C31" s="365">
        <v>0</v>
      </c>
      <c r="D31" s="366">
        <f t="shared" ref="D31:D38" si="1">$D$27*C31/100</f>
        <v>0</v>
      </c>
      <c r="E31" s="367">
        <v>0</v>
      </c>
      <c r="F31" s="366">
        <f t="shared" ref="F31:F38" si="2">$F$27*E31/100</f>
        <v>0</v>
      </c>
      <c r="G31" s="368" t="s">
        <v>653</v>
      </c>
      <c r="H31" s="368" t="s">
        <v>653</v>
      </c>
      <c r="I31" s="369">
        <v>0</v>
      </c>
      <c r="J31" s="366">
        <f t="shared" ref="J31:J41" si="3">$J$27*I31/100</f>
        <v>0</v>
      </c>
      <c r="K31" s="370">
        <v>0</v>
      </c>
      <c r="L31" s="366">
        <f t="shared" ref="L31:L41" si="4">$L$27*K31/100</f>
        <v>0</v>
      </c>
      <c r="M31" s="371">
        <v>0</v>
      </c>
      <c r="N31" s="366">
        <f t="shared" ref="N31:N38" si="5">$N$27*M31/100</f>
        <v>0</v>
      </c>
      <c r="O31" s="371">
        <v>0</v>
      </c>
      <c r="P31" s="366">
        <f t="shared" ref="P31:P41" si="6">$P$27*O31/100</f>
        <v>0</v>
      </c>
      <c r="Q31" s="372">
        <v>0</v>
      </c>
      <c r="R31" s="366">
        <f t="shared" ref="R31:R41" si="7">$R$27*Q31/100</f>
        <v>0</v>
      </c>
      <c r="S31" s="373">
        <f t="shared" ref="S31:S38" si="8">SUM(D31,F31,J31,L31,N31,P31,R31)</f>
        <v>0</v>
      </c>
    </row>
    <row r="32" spans="1:19" x14ac:dyDescent="0.25">
      <c r="A32" s="307" t="s">
        <v>674</v>
      </c>
      <c r="B32" s="277" t="s">
        <v>606</v>
      </c>
      <c r="C32" s="365">
        <v>0</v>
      </c>
      <c r="D32" s="366">
        <f t="shared" si="1"/>
        <v>0</v>
      </c>
      <c r="E32" s="367">
        <v>0</v>
      </c>
      <c r="F32" s="366">
        <f t="shared" si="2"/>
        <v>0</v>
      </c>
      <c r="G32" s="368" t="s">
        <v>653</v>
      </c>
      <c r="H32" s="368" t="s">
        <v>653</v>
      </c>
      <c r="I32" s="369">
        <v>0</v>
      </c>
      <c r="J32" s="366">
        <f t="shared" si="3"/>
        <v>0</v>
      </c>
      <c r="K32" s="370">
        <v>0</v>
      </c>
      <c r="L32" s="366">
        <f t="shared" si="4"/>
        <v>0</v>
      </c>
      <c r="M32" s="371">
        <v>0</v>
      </c>
      <c r="N32" s="366">
        <f t="shared" si="5"/>
        <v>0</v>
      </c>
      <c r="O32" s="371">
        <v>0</v>
      </c>
      <c r="P32" s="366">
        <f t="shared" si="6"/>
        <v>0</v>
      </c>
      <c r="Q32" s="372">
        <v>0</v>
      </c>
      <c r="R32" s="366">
        <f t="shared" si="7"/>
        <v>0</v>
      </c>
      <c r="S32" s="373">
        <f t="shared" si="8"/>
        <v>0</v>
      </c>
    </row>
    <row r="33" spans="1:19" x14ac:dyDescent="0.25">
      <c r="A33" s="307" t="s">
        <v>675</v>
      </c>
      <c r="B33" s="277" t="s">
        <v>575</v>
      </c>
      <c r="C33" s="365">
        <v>0</v>
      </c>
      <c r="D33" s="366">
        <f t="shared" si="1"/>
        <v>0</v>
      </c>
      <c r="E33" s="367">
        <v>0</v>
      </c>
      <c r="F33" s="366">
        <f t="shared" si="2"/>
        <v>0</v>
      </c>
      <c r="G33" s="368" t="s">
        <v>653</v>
      </c>
      <c r="H33" s="368" t="s">
        <v>653</v>
      </c>
      <c r="I33" s="369">
        <v>0</v>
      </c>
      <c r="J33" s="366">
        <f t="shared" si="3"/>
        <v>0</v>
      </c>
      <c r="K33" s="370">
        <v>0</v>
      </c>
      <c r="L33" s="366">
        <f t="shared" si="4"/>
        <v>0</v>
      </c>
      <c r="M33" s="371">
        <v>0</v>
      </c>
      <c r="N33" s="366">
        <f t="shared" si="5"/>
        <v>0</v>
      </c>
      <c r="O33" s="371">
        <v>0</v>
      </c>
      <c r="P33" s="366">
        <f t="shared" si="6"/>
        <v>0</v>
      </c>
      <c r="Q33" s="372">
        <v>0</v>
      </c>
      <c r="R33" s="366">
        <f t="shared" si="7"/>
        <v>0</v>
      </c>
      <c r="S33" s="373">
        <f t="shared" si="8"/>
        <v>0</v>
      </c>
    </row>
    <row r="34" spans="1:19" x14ac:dyDescent="0.25">
      <c r="A34" s="307" t="s">
        <v>676</v>
      </c>
      <c r="B34" s="277" t="s">
        <v>659</v>
      </c>
      <c r="C34" s="365">
        <v>0</v>
      </c>
      <c r="D34" s="366">
        <f t="shared" si="1"/>
        <v>0</v>
      </c>
      <c r="E34" s="367">
        <v>0</v>
      </c>
      <c r="F34" s="366">
        <f t="shared" si="2"/>
        <v>0</v>
      </c>
      <c r="G34" s="368" t="s">
        <v>653</v>
      </c>
      <c r="H34" s="368" t="s">
        <v>653</v>
      </c>
      <c r="I34" s="369">
        <v>0</v>
      </c>
      <c r="J34" s="366">
        <f t="shared" si="3"/>
        <v>0</v>
      </c>
      <c r="K34" s="370">
        <v>0</v>
      </c>
      <c r="L34" s="366">
        <f t="shared" si="4"/>
        <v>0</v>
      </c>
      <c r="M34" s="371">
        <v>0</v>
      </c>
      <c r="N34" s="366">
        <f t="shared" si="5"/>
        <v>0</v>
      </c>
      <c r="O34" s="371">
        <v>0</v>
      </c>
      <c r="P34" s="366">
        <f t="shared" si="6"/>
        <v>0</v>
      </c>
      <c r="Q34" s="372">
        <v>0</v>
      </c>
      <c r="R34" s="366">
        <f t="shared" si="7"/>
        <v>0</v>
      </c>
      <c r="S34" s="373">
        <f t="shared" si="8"/>
        <v>0</v>
      </c>
    </row>
    <row r="35" spans="1:19" x14ac:dyDescent="0.25">
      <c r="A35" s="307" t="s">
        <v>677</v>
      </c>
      <c r="B35" s="277" t="s">
        <v>579</v>
      </c>
      <c r="C35" s="365">
        <v>0</v>
      </c>
      <c r="D35" s="366">
        <f t="shared" si="1"/>
        <v>0</v>
      </c>
      <c r="E35" s="367">
        <v>0</v>
      </c>
      <c r="F35" s="366">
        <f t="shared" si="2"/>
        <v>0</v>
      </c>
      <c r="G35" s="368" t="s">
        <v>653</v>
      </c>
      <c r="H35" s="368" t="s">
        <v>653</v>
      </c>
      <c r="I35" s="369">
        <v>0</v>
      </c>
      <c r="J35" s="366">
        <f t="shared" si="3"/>
        <v>0</v>
      </c>
      <c r="K35" s="370">
        <v>0</v>
      </c>
      <c r="L35" s="366">
        <f t="shared" si="4"/>
        <v>0</v>
      </c>
      <c r="M35" s="371">
        <v>0</v>
      </c>
      <c r="N35" s="366">
        <f t="shared" si="5"/>
        <v>0</v>
      </c>
      <c r="O35" s="371">
        <v>0</v>
      </c>
      <c r="P35" s="366">
        <f t="shared" si="6"/>
        <v>0</v>
      </c>
      <c r="Q35" s="372">
        <v>0</v>
      </c>
      <c r="R35" s="366">
        <f t="shared" si="7"/>
        <v>0</v>
      </c>
      <c r="S35" s="373">
        <f t="shared" si="8"/>
        <v>0</v>
      </c>
    </row>
    <row r="36" spans="1:19" x14ac:dyDescent="0.25">
      <c r="A36" s="307" t="s">
        <v>678</v>
      </c>
      <c r="B36" s="277" t="s">
        <v>585</v>
      </c>
      <c r="C36" s="365">
        <v>0</v>
      </c>
      <c r="D36" s="366">
        <f t="shared" si="1"/>
        <v>0</v>
      </c>
      <c r="E36" s="367">
        <v>0</v>
      </c>
      <c r="F36" s="366">
        <f t="shared" si="2"/>
        <v>0</v>
      </c>
      <c r="G36" s="368" t="s">
        <v>653</v>
      </c>
      <c r="H36" s="368" t="s">
        <v>653</v>
      </c>
      <c r="I36" s="369">
        <v>0</v>
      </c>
      <c r="J36" s="366">
        <f t="shared" si="3"/>
        <v>0</v>
      </c>
      <c r="K36" s="370">
        <v>0</v>
      </c>
      <c r="L36" s="366">
        <f t="shared" si="4"/>
        <v>0</v>
      </c>
      <c r="M36" s="371">
        <v>0</v>
      </c>
      <c r="N36" s="366">
        <f t="shared" si="5"/>
        <v>0</v>
      </c>
      <c r="O36" s="371">
        <v>0</v>
      </c>
      <c r="P36" s="366">
        <f t="shared" si="6"/>
        <v>0</v>
      </c>
      <c r="Q36" s="372">
        <v>0</v>
      </c>
      <c r="R36" s="366">
        <f t="shared" si="7"/>
        <v>0</v>
      </c>
      <c r="S36" s="373">
        <f t="shared" si="8"/>
        <v>0</v>
      </c>
    </row>
    <row r="37" spans="1:19" x14ac:dyDescent="0.25">
      <c r="A37" s="307" t="s">
        <v>679</v>
      </c>
      <c r="B37" s="277" t="s">
        <v>663</v>
      </c>
      <c r="C37" s="365">
        <f>'Forma 11'!VAS011_F_Sanaudos3VISOSVANDENTVARKOSSANAUDOS</f>
        <v>13.106</v>
      </c>
      <c r="D37" s="366">
        <f t="shared" si="1"/>
        <v>87.739924317399996</v>
      </c>
      <c r="E37" s="367">
        <f>'Forma 11'!VAS011_F_Sanaudos3VISOSVANDENTVARKOSSANAUDOS</f>
        <v>13.106</v>
      </c>
      <c r="F37" s="366">
        <f t="shared" si="2"/>
        <v>98.99922469800002</v>
      </c>
      <c r="G37" s="368" t="s">
        <v>653</v>
      </c>
      <c r="H37" s="368" t="s">
        <v>653</v>
      </c>
      <c r="I37" s="369">
        <f>'Forma 11'!VAS011_F_Sanaudos3VISOSVANDENTVARKOSSANAUDOS</f>
        <v>13.106</v>
      </c>
      <c r="J37" s="366">
        <f t="shared" si="3"/>
        <v>87.1473260426</v>
      </c>
      <c r="K37" s="370">
        <f>'Forma 11'!VAS011_F_Sanaudos3VISOSVANDENTVARKOSSANAUDOS</f>
        <v>13.106</v>
      </c>
      <c r="L37" s="366">
        <f t="shared" si="4"/>
        <v>149.80665988559997</v>
      </c>
      <c r="M37" s="371">
        <f>'Forma 11'!VAS011_F_Sanaudos3VISOSVANDENTVARKOSSANAUDOS</f>
        <v>13.106</v>
      </c>
      <c r="N37" s="366">
        <f t="shared" si="5"/>
        <v>11.078431027599997</v>
      </c>
      <c r="O37" s="371">
        <f>'Forma 11'!VAS011_F_Sanaudos3VISOSVANDENTVARKOSSANAUDOS</f>
        <v>13.106</v>
      </c>
      <c r="P37" s="366">
        <f t="shared" si="6"/>
        <v>3.4355714537999997</v>
      </c>
      <c r="Q37" s="372">
        <f>'Forma 11'!VAS011_F_Sanaudos3VISOSVANDENTVARKOSSANAUDOS</f>
        <v>13.106</v>
      </c>
      <c r="R37" s="366">
        <f t="shared" si="7"/>
        <v>0</v>
      </c>
      <c r="S37" s="373">
        <f t="shared" si="8"/>
        <v>438.20713742499998</v>
      </c>
    </row>
    <row r="38" spans="1:19" ht="15.75" thickBot="1" x14ac:dyDescent="0.3">
      <c r="A38" s="323" t="s">
        <v>680</v>
      </c>
      <c r="B38" s="324" t="s">
        <v>596</v>
      </c>
      <c r="C38" s="374">
        <v>0</v>
      </c>
      <c r="D38" s="375">
        <f t="shared" si="1"/>
        <v>0</v>
      </c>
      <c r="E38" s="376">
        <v>0</v>
      </c>
      <c r="F38" s="375">
        <f t="shared" si="2"/>
        <v>0</v>
      </c>
      <c r="G38" s="377" t="s">
        <v>653</v>
      </c>
      <c r="H38" s="377" t="s">
        <v>653</v>
      </c>
      <c r="I38" s="378">
        <v>0</v>
      </c>
      <c r="J38" s="375">
        <f t="shared" si="3"/>
        <v>0</v>
      </c>
      <c r="K38" s="379">
        <v>0</v>
      </c>
      <c r="L38" s="375">
        <f t="shared" si="4"/>
        <v>0</v>
      </c>
      <c r="M38" s="380">
        <v>0</v>
      </c>
      <c r="N38" s="375">
        <f t="shared" si="5"/>
        <v>0</v>
      </c>
      <c r="O38" s="380">
        <v>0</v>
      </c>
      <c r="P38" s="375">
        <f t="shared" si="6"/>
        <v>0</v>
      </c>
      <c r="Q38" s="381">
        <v>0</v>
      </c>
      <c r="R38" s="375">
        <f t="shared" si="7"/>
        <v>0</v>
      </c>
      <c r="S38" s="437">
        <f t="shared" si="8"/>
        <v>0</v>
      </c>
    </row>
    <row r="39" spans="1:19" ht="26.25" thickTop="1" x14ac:dyDescent="0.25">
      <c r="A39" s="229" t="s">
        <v>354</v>
      </c>
      <c r="B39" s="333" t="s">
        <v>716</v>
      </c>
      <c r="C39" s="405">
        <f>SUM(C40,C41)</f>
        <v>86.894000000000005</v>
      </c>
      <c r="D39" s="438">
        <f t="shared" ref="D39:F39" si="9">SUM(D40,D41)</f>
        <v>581.72386568260004</v>
      </c>
      <c r="E39" s="405">
        <f t="shared" si="9"/>
        <v>86.894000000000005</v>
      </c>
      <c r="F39" s="438">
        <f t="shared" si="9"/>
        <v>656.37407530200016</v>
      </c>
      <c r="G39" s="384" t="s">
        <v>653</v>
      </c>
      <c r="H39" s="384" t="s">
        <v>653</v>
      </c>
      <c r="I39" s="385">
        <f t="shared" ref="I39:S39" si="10">SUM(I40,I41)</f>
        <v>86.894000000000005</v>
      </c>
      <c r="J39" s="383">
        <f t="shared" si="10"/>
        <v>577.79488395739997</v>
      </c>
      <c r="K39" s="385">
        <f t="shared" si="10"/>
        <v>86.894000000000005</v>
      </c>
      <c r="L39" s="383">
        <f t="shared" si="10"/>
        <v>993.23210011439994</v>
      </c>
      <c r="M39" s="385">
        <f t="shared" si="10"/>
        <v>86.894000000000005</v>
      </c>
      <c r="N39" s="383">
        <f t="shared" si="10"/>
        <v>73.451028972399996</v>
      </c>
      <c r="O39" s="385">
        <f t="shared" si="10"/>
        <v>86.894000000000005</v>
      </c>
      <c r="P39" s="383">
        <f t="shared" si="10"/>
        <v>22.778158546200004</v>
      </c>
      <c r="Q39" s="385">
        <f t="shared" si="10"/>
        <v>86.894000000000005</v>
      </c>
      <c r="R39" s="383">
        <f t="shared" si="10"/>
        <v>0</v>
      </c>
      <c r="S39" s="386">
        <f t="shared" si="10"/>
        <v>2905.3541125749998</v>
      </c>
    </row>
    <row r="40" spans="1:19" x14ac:dyDescent="0.25">
      <c r="A40" s="307" t="s">
        <v>387</v>
      </c>
      <c r="B40" s="277" t="s">
        <v>667</v>
      </c>
      <c r="C40" s="365">
        <v>0</v>
      </c>
      <c r="D40" s="366">
        <f>$D$27*C40/100</f>
        <v>0</v>
      </c>
      <c r="E40" s="367">
        <v>0</v>
      </c>
      <c r="F40" s="366">
        <f>$F$27*E40/100</f>
        <v>0</v>
      </c>
      <c r="G40" s="368" t="s">
        <v>653</v>
      </c>
      <c r="H40" s="368" t="s">
        <v>653</v>
      </c>
      <c r="I40" s="369">
        <v>0</v>
      </c>
      <c r="J40" s="366">
        <f t="shared" si="3"/>
        <v>0</v>
      </c>
      <c r="K40" s="370">
        <v>0</v>
      </c>
      <c r="L40" s="366">
        <f t="shared" si="4"/>
        <v>0</v>
      </c>
      <c r="M40" s="371">
        <v>0</v>
      </c>
      <c r="N40" s="366">
        <f>$N$27*M40/100</f>
        <v>0</v>
      </c>
      <c r="O40" s="371">
        <v>0</v>
      </c>
      <c r="P40" s="366">
        <f t="shared" si="6"/>
        <v>0</v>
      </c>
      <c r="Q40" s="372">
        <v>0</v>
      </c>
      <c r="R40" s="366">
        <f t="shared" si="7"/>
        <v>0</v>
      </c>
      <c r="S40" s="387">
        <f>SUM(D40,F40,J40,L40,N40,P40,R40)</f>
        <v>0</v>
      </c>
    </row>
    <row r="41" spans="1:19" ht="15.75" thickBot="1" x14ac:dyDescent="0.3">
      <c r="A41" s="323" t="s">
        <v>682</v>
      </c>
      <c r="B41" s="324" t="s">
        <v>669</v>
      </c>
      <c r="C41" s="374">
        <f>'Forma 11'!VAS011_F_Sanaudos1VIIKitosVeiklos</f>
        <v>86.894000000000005</v>
      </c>
      <c r="D41" s="375">
        <f>$D$27*C41/100</f>
        <v>581.72386568260004</v>
      </c>
      <c r="E41" s="376">
        <f>'Forma 11'!VAS011_F_Sanaudos1VIIKitosVeiklos</f>
        <v>86.894000000000005</v>
      </c>
      <c r="F41" s="366">
        <f>$F$27*E41/100</f>
        <v>656.37407530200016</v>
      </c>
      <c r="G41" s="377" t="s">
        <v>653</v>
      </c>
      <c r="H41" s="377" t="s">
        <v>653</v>
      </c>
      <c r="I41" s="378">
        <f>'Forma 11'!VAS011_F_Sanaudos1VIIKitosVeiklos</f>
        <v>86.894000000000005</v>
      </c>
      <c r="J41" s="366">
        <f t="shared" si="3"/>
        <v>577.79488395739997</v>
      </c>
      <c r="K41" s="379">
        <f>'Forma 11'!VAS011_F_Sanaudos1VIIKitosVeiklos</f>
        <v>86.894000000000005</v>
      </c>
      <c r="L41" s="366">
        <f t="shared" si="4"/>
        <v>993.23210011439994</v>
      </c>
      <c r="M41" s="380">
        <f>'Forma 11'!VAS011_F_Sanaudos1VIIKitosVeiklos</f>
        <v>86.894000000000005</v>
      </c>
      <c r="N41" s="366">
        <f>$N$27*M41/100</f>
        <v>73.451028972399996</v>
      </c>
      <c r="O41" s="380">
        <f>'Forma 11'!VAS011_F_Sanaudos1VIIKitosVeiklos</f>
        <v>86.894000000000005</v>
      </c>
      <c r="P41" s="366">
        <f t="shared" si="6"/>
        <v>22.778158546200004</v>
      </c>
      <c r="Q41" s="381">
        <f>'Forma 11'!VAS011_F_Sanaudos1VIIKitosVeiklos</f>
        <v>86.894000000000005</v>
      </c>
      <c r="R41" s="366">
        <f t="shared" si="7"/>
        <v>0</v>
      </c>
      <c r="S41" s="387">
        <f>SUM(D41,F41,J41,L41,N41,P41,R41)</f>
        <v>2905.3541125749998</v>
      </c>
    </row>
    <row r="42" spans="1:19" ht="30" thickTop="1" thickBot="1" x14ac:dyDescent="0.3">
      <c r="A42" s="388" t="s">
        <v>364</v>
      </c>
      <c r="B42" s="389" t="s">
        <v>717</v>
      </c>
      <c r="C42" s="390">
        <f>SUM(C45:C53,C55,C56)</f>
        <v>100.00000000000001</v>
      </c>
      <c r="D42" s="391">
        <f>'[1] Bal 18'!$N$21/1000</f>
        <v>814.48264000000006</v>
      </c>
      <c r="E42" s="390">
        <f>SUM(E45:E53,E55,E56)</f>
        <v>99.999999999999986</v>
      </c>
      <c r="F42" s="391">
        <f>'[1] Bal 18'!$N$22/1000</f>
        <v>76.842079999999996</v>
      </c>
      <c r="G42" s="392" t="s">
        <v>653</v>
      </c>
      <c r="H42" s="393" t="s">
        <v>653</v>
      </c>
      <c r="I42" s="394">
        <f>SUM(I45:I53,I55,I56)</f>
        <v>100.00000000000001</v>
      </c>
      <c r="J42" s="395">
        <f>'[1] Bal 18'!$N$31</f>
        <v>0</v>
      </c>
      <c r="K42" s="394">
        <f>SUM(K45:K53,K55,K56)</f>
        <v>100</v>
      </c>
      <c r="L42" s="395">
        <f>'[1] Bal 18'!$N$38</f>
        <v>0</v>
      </c>
      <c r="M42" s="394">
        <f>SUM(M45:M53,M55,M56)</f>
        <v>100</v>
      </c>
      <c r="N42" s="391">
        <f>'[1] Bal 18'!$N$41</f>
        <v>0</v>
      </c>
      <c r="O42" s="394">
        <f>SUM(O45:O53,O55,O56)</f>
        <v>100.00000000000003</v>
      </c>
      <c r="P42" s="395">
        <f>'[1] Bal 18'!$N$10</f>
        <v>0</v>
      </c>
      <c r="Q42" s="394">
        <f>SUM(Q45:Q53,Q55,Q56)</f>
        <v>0</v>
      </c>
      <c r="R42" s="396">
        <f>0</f>
        <v>0</v>
      </c>
      <c r="S42" s="397">
        <f>SUM(D42,F42,J42,L42,N42,P42,R42)</f>
        <v>891.32472000000007</v>
      </c>
    </row>
    <row r="43" spans="1:19" ht="27.75" customHeight="1" thickTop="1" x14ac:dyDescent="0.25">
      <c r="A43" s="1009" t="s">
        <v>684</v>
      </c>
      <c r="B43" s="1010"/>
      <c r="C43" s="439"/>
      <c r="D43" s="1032" t="s">
        <v>718</v>
      </c>
      <c r="E43" s="1032"/>
      <c r="F43" s="1032"/>
      <c r="G43" s="1032"/>
      <c r="H43" s="1032"/>
      <c r="I43" s="1032"/>
      <c r="J43" s="1032"/>
      <c r="K43" s="1032"/>
      <c r="L43" s="1032"/>
      <c r="M43" s="1032"/>
      <c r="N43" s="1032"/>
      <c r="O43" s="1032"/>
      <c r="P43" s="1032"/>
      <c r="Q43" s="1032"/>
      <c r="R43" s="1032"/>
      <c r="S43" s="1033"/>
    </row>
    <row r="44" spans="1:19" ht="25.5" x14ac:dyDescent="0.25">
      <c r="A44" s="358" t="s">
        <v>165</v>
      </c>
      <c r="B44" s="359" t="s">
        <v>719</v>
      </c>
      <c r="C44" s="360">
        <f>SUM(C45:C53)</f>
        <v>12.097174188816636</v>
      </c>
      <c r="D44" s="361">
        <f>SUM(D45:D53)</f>
        <v>98.529383698472316</v>
      </c>
      <c r="E44" s="360">
        <f>SUM(E45:E53)</f>
        <v>79.976081131336173</v>
      </c>
      <c r="F44" s="361">
        <f>SUM(F45:F53)</f>
        <v>61.455284243806247</v>
      </c>
      <c r="G44" s="362" t="s">
        <v>653</v>
      </c>
      <c r="H44" s="362" t="s">
        <v>653</v>
      </c>
      <c r="I44" s="363">
        <f t="shared" ref="I44:S44" si="11">SUM(I45:I53)</f>
        <v>17.297859920391655</v>
      </c>
      <c r="J44" s="361">
        <f t="shared" si="11"/>
        <v>0</v>
      </c>
      <c r="K44" s="363">
        <f t="shared" si="11"/>
        <v>13.105999999999998</v>
      </c>
      <c r="L44" s="361">
        <f t="shared" si="11"/>
        <v>0</v>
      </c>
      <c r="M44" s="363">
        <f t="shared" si="11"/>
        <v>21.557235661723038</v>
      </c>
      <c r="N44" s="361">
        <f t="shared" si="11"/>
        <v>0</v>
      </c>
      <c r="O44" s="363">
        <f t="shared" si="11"/>
        <v>13.106000000000002</v>
      </c>
      <c r="P44" s="361">
        <f t="shared" si="11"/>
        <v>0</v>
      </c>
      <c r="Q44" s="363">
        <f t="shared" si="11"/>
        <v>0</v>
      </c>
      <c r="R44" s="361">
        <f t="shared" si="11"/>
        <v>0</v>
      </c>
      <c r="S44" s="364">
        <f t="shared" si="11"/>
        <v>159.98466794227858</v>
      </c>
    </row>
    <row r="45" spans="1:19" x14ac:dyDescent="0.25">
      <c r="A45" s="398" t="s">
        <v>167</v>
      </c>
      <c r="B45" s="277" t="s">
        <v>598</v>
      </c>
      <c r="C45" s="399">
        <f t="shared" ref="C45:C53" si="12">IF($D$13+$D$27=0,0,(D15+D30)/($D$13+$D$27)*100)</f>
        <v>0</v>
      </c>
      <c r="D45" s="400">
        <f>$D$42*C45/100</f>
        <v>0</v>
      </c>
      <c r="E45" s="399">
        <f t="shared" ref="E45:E53" si="13">IF($F$13+$F$27=0,0,(F15+F30)/($F$13+$F$27)*100)</f>
        <v>0</v>
      </c>
      <c r="F45" s="400">
        <f>$F$42*E45/100</f>
        <v>0</v>
      </c>
      <c r="G45" s="384" t="s">
        <v>653</v>
      </c>
      <c r="H45" s="384" t="s">
        <v>653</v>
      </c>
      <c r="I45" s="401">
        <f t="shared" ref="I45:I53" si="14">IF($J$13+$J$27=0,0,(J15+J30)/($J$13+$J$27)*100)</f>
        <v>0</v>
      </c>
      <c r="J45" s="400">
        <f>$J$42*I45/100</f>
        <v>0</v>
      </c>
      <c r="K45" s="401">
        <f>IF($L$13+$L$27=0,0,(L15+L30)/($L$13+$L$27)*100)</f>
        <v>0</v>
      </c>
      <c r="L45" s="400">
        <f>$L$42*K45/100</f>
        <v>0</v>
      </c>
      <c r="M45" s="401">
        <f t="shared" ref="M45:M53" si="15">IF($N$13+$N$27=0,0,(N15+N30)/($N$13+$N$27)*100)</f>
        <v>0</v>
      </c>
      <c r="N45" s="400">
        <f>$N$42*M45/100</f>
        <v>0</v>
      </c>
      <c r="O45" s="401">
        <f t="shared" ref="O45:O53" si="16">IF($P$13+$P$27=0,0,(P15+P30)/($P$13+$P$27)*100)</f>
        <v>0</v>
      </c>
      <c r="P45" s="400">
        <f>$P$42*O45/100</f>
        <v>0</v>
      </c>
      <c r="Q45" s="401">
        <f t="shared" ref="Q45:Q53" si="17">IF($R$13+$R$27=0,0,(R15+R30)/($R$13+$R$27)*100)</f>
        <v>0</v>
      </c>
      <c r="R45" s="400">
        <f>$R$42*Q45/100</f>
        <v>0</v>
      </c>
      <c r="S45" s="402">
        <f>SUM(D45,F45,J45,L45,N45,P45,R45)</f>
        <v>0</v>
      </c>
    </row>
    <row r="46" spans="1:19" x14ac:dyDescent="0.25">
      <c r="A46" s="307" t="s">
        <v>485</v>
      </c>
      <c r="B46" s="277" t="s">
        <v>656</v>
      </c>
      <c r="C46" s="399">
        <f t="shared" si="12"/>
        <v>0</v>
      </c>
      <c r="D46" s="400">
        <f t="shared" ref="D46:D56" si="18">$D$42*C46/100</f>
        <v>0</v>
      </c>
      <c r="E46" s="399">
        <f t="shared" si="13"/>
        <v>0</v>
      </c>
      <c r="F46" s="400">
        <f t="shared" ref="F46:F56" si="19">$F$42*E46/100</f>
        <v>0</v>
      </c>
      <c r="G46" s="368" t="s">
        <v>653</v>
      </c>
      <c r="H46" s="368" t="s">
        <v>653</v>
      </c>
      <c r="I46" s="401">
        <f t="shared" si="14"/>
        <v>0</v>
      </c>
      <c r="J46" s="400">
        <f t="shared" ref="J46:J56" si="20">$J$42*I46/100</f>
        <v>0</v>
      </c>
      <c r="K46" s="401">
        <f t="shared" ref="K46:K47" si="21">IF($L$13+$L$27=0,0,(L16+L31)/($L$13+$L$27)*100)</f>
        <v>0</v>
      </c>
      <c r="L46" s="400">
        <f t="shared" ref="L46:L56" si="22">$L$42*K46/100</f>
        <v>0</v>
      </c>
      <c r="M46" s="401">
        <f t="shared" si="15"/>
        <v>0</v>
      </c>
      <c r="N46" s="400">
        <f t="shared" ref="N46:N56" si="23">$N$42*M46/100</f>
        <v>0</v>
      </c>
      <c r="O46" s="401">
        <f t="shared" si="16"/>
        <v>0</v>
      </c>
      <c r="P46" s="400">
        <f t="shared" ref="P46:P56" si="24">$P$42*O46/100</f>
        <v>0</v>
      </c>
      <c r="Q46" s="401">
        <f t="shared" si="17"/>
        <v>0</v>
      </c>
      <c r="R46" s="400">
        <f t="shared" ref="R46:R56" si="25">$R$42*Q46/100</f>
        <v>0</v>
      </c>
      <c r="S46" s="402">
        <f t="shared" ref="S46:S53" si="26">SUM(D46,F46,J46,L46,N46,P46,R46)</f>
        <v>0</v>
      </c>
    </row>
    <row r="47" spans="1:19" x14ac:dyDescent="0.25">
      <c r="A47" s="307" t="s">
        <v>687</v>
      </c>
      <c r="B47" s="277" t="s">
        <v>606</v>
      </c>
      <c r="C47" s="399">
        <f t="shared" si="12"/>
        <v>0</v>
      </c>
      <c r="D47" s="400">
        <f t="shared" si="18"/>
        <v>0</v>
      </c>
      <c r="E47" s="399">
        <f t="shared" si="13"/>
        <v>0</v>
      </c>
      <c r="F47" s="400">
        <f t="shared" si="19"/>
        <v>0</v>
      </c>
      <c r="G47" s="368" t="s">
        <v>653</v>
      </c>
      <c r="H47" s="368" t="s">
        <v>653</v>
      </c>
      <c r="I47" s="401">
        <f t="shared" si="14"/>
        <v>0</v>
      </c>
      <c r="J47" s="400">
        <f t="shared" si="20"/>
        <v>0</v>
      </c>
      <c r="K47" s="401">
        <f t="shared" si="21"/>
        <v>0</v>
      </c>
      <c r="L47" s="400">
        <f t="shared" si="22"/>
        <v>0</v>
      </c>
      <c r="M47" s="401">
        <f t="shared" si="15"/>
        <v>0</v>
      </c>
      <c r="N47" s="400">
        <f t="shared" si="23"/>
        <v>0</v>
      </c>
      <c r="O47" s="401">
        <f t="shared" si="16"/>
        <v>0</v>
      </c>
      <c r="P47" s="400">
        <f t="shared" si="24"/>
        <v>0</v>
      </c>
      <c r="Q47" s="401">
        <f t="shared" si="17"/>
        <v>0</v>
      </c>
      <c r="R47" s="400">
        <f t="shared" si="25"/>
        <v>0</v>
      </c>
      <c r="S47" s="402">
        <f t="shared" si="26"/>
        <v>0</v>
      </c>
    </row>
    <row r="48" spans="1:19" x14ac:dyDescent="0.25">
      <c r="A48" s="307" t="s">
        <v>688</v>
      </c>
      <c r="B48" s="277" t="s">
        <v>575</v>
      </c>
      <c r="C48" s="399">
        <f t="shared" si="12"/>
        <v>0</v>
      </c>
      <c r="D48" s="400">
        <f t="shared" si="18"/>
        <v>0</v>
      </c>
      <c r="E48" s="399">
        <f t="shared" si="13"/>
        <v>0</v>
      </c>
      <c r="F48" s="400">
        <f t="shared" si="19"/>
        <v>0</v>
      </c>
      <c r="G48" s="368" t="s">
        <v>653</v>
      </c>
      <c r="H48" s="368" t="s">
        <v>653</v>
      </c>
      <c r="I48" s="401">
        <f t="shared" si="14"/>
        <v>0</v>
      </c>
      <c r="J48" s="400">
        <f t="shared" si="20"/>
        <v>0</v>
      </c>
      <c r="K48" s="401">
        <f t="shared" ref="K48:K53" si="27">IF($L$13+$L$27=0,0,(L18+L33)/($L$13+$L$27)*100)</f>
        <v>0</v>
      </c>
      <c r="L48" s="400">
        <f t="shared" si="22"/>
        <v>0</v>
      </c>
      <c r="M48" s="401">
        <f t="shared" si="15"/>
        <v>0</v>
      </c>
      <c r="N48" s="400">
        <f t="shared" si="23"/>
        <v>0</v>
      </c>
      <c r="O48" s="401">
        <f t="shared" si="16"/>
        <v>0</v>
      </c>
      <c r="P48" s="400">
        <f t="shared" si="24"/>
        <v>0</v>
      </c>
      <c r="Q48" s="401">
        <f t="shared" si="17"/>
        <v>0</v>
      </c>
      <c r="R48" s="400">
        <f t="shared" si="25"/>
        <v>0</v>
      </c>
      <c r="S48" s="402">
        <f t="shared" si="26"/>
        <v>0</v>
      </c>
    </row>
    <row r="49" spans="1:19" x14ac:dyDescent="0.25">
      <c r="A49" s="307" t="s">
        <v>689</v>
      </c>
      <c r="B49" s="277" t="s">
        <v>659</v>
      </c>
      <c r="C49" s="399">
        <f t="shared" si="12"/>
        <v>0</v>
      </c>
      <c r="D49" s="400">
        <f t="shared" si="18"/>
        <v>0</v>
      </c>
      <c r="E49" s="399">
        <f t="shared" si="13"/>
        <v>0</v>
      </c>
      <c r="F49" s="400">
        <f t="shared" si="19"/>
        <v>0</v>
      </c>
      <c r="G49" s="368" t="s">
        <v>653</v>
      </c>
      <c r="H49" s="368" t="s">
        <v>653</v>
      </c>
      <c r="I49" s="401">
        <f t="shared" si="14"/>
        <v>0</v>
      </c>
      <c r="J49" s="400">
        <f t="shared" si="20"/>
        <v>0</v>
      </c>
      <c r="K49" s="401">
        <f t="shared" si="27"/>
        <v>0</v>
      </c>
      <c r="L49" s="400">
        <f t="shared" si="22"/>
        <v>0</v>
      </c>
      <c r="M49" s="401">
        <f t="shared" si="15"/>
        <v>0</v>
      </c>
      <c r="N49" s="400">
        <f t="shared" si="23"/>
        <v>0</v>
      </c>
      <c r="O49" s="401">
        <f t="shared" si="16"/>
        <v>0</v>
      </c>
      <c r="P49" s="400">
        <f t="shared" si="24"/>
        <v>0</v>
      </c>
      <c r="Q49" s="401">
        <f t="shared" si="17"/>
        <v>0</v>
      </c>
      <c r="R49" s="400">
        <f t="shared" si="25"/>
        <v>0</v>
      </c>
      <c r="S49" s="402">
        <f t="shared" si="26"/>
        <v>0</v>
      </c>
    </row>
    <row r="50" spans="1:19" x14ac:dyDescent="0.25">
      <c r="A50" s="307" t="s">
        <v>690</v>
      </c>
      <c r="B50" s="277" t="s">
        <v>579</v>
      </c>
      <c r="C50" s="399">
        <f t="shared" si="12"/>
        <v>0</v>
      </c>
      <c r="D50" s="400">
        <f t="shared" si="18"/>
        <v>0</v>
      </c>
      <c r="E50" s="399">
        <f t="shared" si="13"/>
        <v>0</v>
      </c>
      <c r="F50" s="400">
        <f t="shared" si="19"/>
        <v>0</v>
      </c>
      <c r="G50" s="368" t="s">
        <v>653</v>
      </c>
      <c r="H50" s="368" t="s">
        <v>653</v>
      </c>
      <c r="I50" s="401">
        <f t="shared" si="14"/>
        <v>0</v>
      </c>
      <c r="J50" s="400">
        <f t="shared" si="20"/>
        <v>0</v>
      </c>
      <c r="K50" s="401">
        <f t="shared" si="27"/>
        <v>0</v>
      </c>
      <c r="L50" s="400">
        <f t="shared" si="22"/>
        <v>0</v>
      </c>
      <c r="M50" s="401">
        <f t="shared" si="15"/>
        <v>0</v>
      </c>
      <c r="N50" s="400">
        <f t="shared" si="23"/>
        <v>0</v>
      </c>
      <c r="O50" s="401">
        <f t="shared" si="16"/>
        <v>0</v>
      </c>
      <c r="P50" s="400">
        <f t="shared" si="24"/>
        <v>0</v>
      </c>
      <c r="Q50" s="401">
        <f t="shared" si="17"/>
        <v>0</v>
      </c>
      <c r="R50" s="400">
        <f t="shared" si="25"/>
        <v>0</v>
      </c>
      <c r="S50" s="402">
        <f t="shared" si="26"/>
        <v>0</v>
      </c>
    </row>
    <row r="51" spans="1:19" x14ac:dyDescent="0.25">
      <c r="A51" s="307" t="s">
        <v>691</v>
      </c>
      <c r="B51" s="277" t="s">
        <v>585</v>
      </c>
      <c r="C51" s="399">
        <f t="shared" si="12"/>
        <v>0</v>
      </c>
      <c r="D51" s="400">
        <f t="shared" si="18"/>
        <v>0</v>
      </c>
      <c r="E51" s="399">
        <f t="shared" si="13"/>
        <v>0</v>
      </c>
      <c r="F51" s="400">
        <f t="shared" si="19"/>
        <v>0</v>
      </c>
      <c r="G51" s="368" t="s">
        <v>653</v>
      </c>
      <c r="H51" s="368" t="s">
        <v>653</v>
      </c>
      <c r="I51" s="401">
        <f t="shared" si="14"/>
        <v>0</v>
      </c>
      <c r="J51" s="400">
        <f t="shared" si="20"/>
        <v>0</v>
      </c>
      <c r="K51" s="401">
        <f t="shared" si="27"/>
        <v>0</v>
      </c>
      <c r="L51" s="400">
        <f t="shared" si="22"/>
        <v>0</v>
      </c>
      <c r="M51" s="401">
        <f t="shared" si="15"/>
        <v>0</v>
      </c>
      <c r="N51" s="400">
        <f t="shared" si="23"/>
        <v>0</v>
      </c>
      <c r="O51" s="401">
        <f t="shared" si="16"/>
        <v>0</v>
      </c>
      <c r="P51" s="400">
        <f t="shared" si="24"/>
        <v>0</v>
      </c>
      <c r="Q51" s="401">
        <f t="shared" si="17"/>
        <v>0</v>
      </c>
      <c r="R51" s="400">
        <f t="shared" si="25"/>
        <v>0</v>
      </c>
      <c r="S51" s="402">
        <f t="shared" si="26"/>
        <v>0</v>
      </c>
    </row>
    <row r="52" spans="1:19" x14ac:dyDescent="0.25">
      <c r="A52" s="307" t="s">
        <v>692</v>
      </c>
      <c r="B52" s="277" t="s">
        <v>663</v>
      </c>
      <c r="C52" s="399">
        <f t="shared" si="12"/>
        <v>12.097174188816636</v>
      </c>
      <c r="D52" s="400">
        <f t="shared" si="18"/>
        <v>98.529383698472316</v>
      </c>
      <c r="E52" s="399">
        <f t="shared" si="13"/>
        <v>79.976081131336173</v>
      </c>
      <c r="F52" s="400">
        <f t="shared" si="19"/>
        <v>61.455284243806247</v>
      </c>
      <c r="G52" s="368" t="s">
        <v>653</v>
      </c>
      <c r="H52" s="368" t="s">
        <v>653</v>
      </c>
      <c r="I52" s="401">
        <f t="shared" si="14"/>
        <v>17.297859920391655</v>
      </c>
      <c r="J52" s="400">
        <f t="shared" si="20"/>
        <v>0</v>
      </c>
      <c r="K52" s="401">
        <f t="shared" si="27"/>
        <v>13.105999999999998</v>
      </c>
      <c r="L52" s="400">
        <f t="shared" si="22"/>
        <v>0</v>
      </c>
      <c r="M52" s="401">
        <f t="shared" si="15"/>
        <v>21.557235661723038</v>
      </c>
      <c r="N52" s="400">
        <f t="shared" si="23"/>
        <v>0</v>
      </c>
      <c r="O52" s="401">
        <f t="shared" si="16"/>
        <v>13.106000000000002</v>
      </c>
      <c r="P52" s="400">
        <f t="shared" si="24"/>
        <v>0</v>
      </c>
      <c r="Q52" s="401">
        <f t="shared" si="17"/>
        <v>0</v>
      </c>
      <c r="R52" s="400">
        <f t="shared" si="25"/>
        <v>0</v>
      </c>
      <c r="S52" s="402">
        <f t="shared" si="26"/>
        <v>159.98466794227858</v>
      </c>
    </row>
    <row r="53" spans="1:19" ht="15.75" thickBot="1" x14ac:dyDescent="0.3">
      <c r="A53" s="323" t="s">
        <v>693</v>
      </c>
      <c r="B53" s="324" t="s">
        <v>596</v>
      </c>
      <c r="C53" s="403">
        <f t="shared" si="12"/>
        <v>0</v>
      </c>
      <c r="D53" s="375">
        <f t="shared" si="18"/>
        <v>0</v>
      </c>
      <c r="E53" s="403">
        <f t="shared" si="13"/>
        <v>0</v>
      </c>
      <c r="F53" s="375">
        <f t="shared" si="19"/>
        <v>0</v>
      </c>
      <c r="G53" s="377" t="s">
        <v>653</v>
      </c>
      <c r="H53" s="377" t="s">
        <v>653</v>
      </c>
      <c r="I53" s="404">
        <f t="shared" si="14"/>
        <v>0</v>
      </c>
      <c r="J53" s="375">
        <f t="shared" si="20"/>
        <v>0</v>
      </c>
      <c r="K53" s="404">
        <f t="shared" si="27"/>
        <v>0</v>
      </c>
      <c r="L53" s="375">
        <f t="shared" si="22"/>
        <v>0</v>
      </c>
      <c r="M53" s="404">
        <f t="shared" si="15"/>
        <v>0</v>
      </c>
      <c r="N53" s="375">
        <f t="shared" si="23"/>
        <v>0</v>
      </c>
      <c r="O53" s="404">
        <f t="shared" si="16"/>
        <v>0</v>
      </c>
      <c r="P53" s="375">
        <f t="shared" si="24"/>
        <v>0</v>
      </c>
      <c r="Q53" s="404">
        <f t="shared" si="17"/>
        <v>0</v>
      </c>
      <c r="R53" s="375">
        <f t="shared" si="25"/>
        <v>0</v>
      </c>
      <c r="S53" s="440">
        <f t="shared" si="26"/>
        <v>0</v>
      </c>
    </row>
    <row r="54" spans="1:19" ht="26.25" thickTop="1" x14ac:dyDescent="0.25">
      <c r="A54" s="229" t="s">
        <v>329</v>
      </c>
      <c r="B54" s="333" t="s">
        <v>720</v>
      </c>
      <c r="C54" s="405">
        <f>SUM(C55,C56)</f>
        <v>87.902825811183376</v>
      </c>
      <c r="D54" s="400">
        <f>SUM(D55,D56)</f>
        <v>715.95325630152786</v>
      </c>
      <c r="E54" s="405">
        <f>SUM(E55,E56)</f>
        <v>20.023918868663817</v>
      </c>
      <c r="F54" s="400">
        <f>SUM(F55,F56)</f>
        <v>15.386795756193743</v>
      </c>
      <c r="G54" s="384" t="s">
        <v>653</v>
      </c>
      <c r="H54" s="384" t="s">
        <v>653</v>
      </c>
      <c r="I54" s="385">
        <f t="shared" ref="I54:S54" si="28">SUM(I55,I56)</f>
        <v>82.702140079608355</v>
      </c>
      <c r="J54" s="400">
        <f t="shared" si="28"/>
        <v>0</v>
      </c>
      <c r="K54" s="385">
        <f t="shared" si="28"/>
        <v>86.894000000000005</v>
      </c>
      <c r="L54" s="400">
        <f t="shared" si="28"/>
        <v>0</v>
      </c>
      <c r="M54" s="385">
        <f t="shared" si="28"/>
        <v>78.442764338276959</v>
      </c>
      <c r="N54" s="400">
        <f t="shared" si="28"/>
        <v>0</v>
      </c>
      <c r="O54" s="385">
        <f t="shared" si="28"/>
        <v>86.89400000000002</v>
      </c>
      <c r="P54" s="400">
        <f t="shared" si="28"/>
        <v>0</v>
      </c>
      <c r="Q54" s="385">
        <f t="shared" si="28"/>
        <v>0</v>
      </c>
      <c r="R54" s="400">
        <f t="shared" si="28"/>
        <v>0</v>
      </c>
      <c r="S54" s="386">
        <f t="shared" si="28"/>
        <v>731.34005205772155</v>
      </c>
    </row>
    <row r="55" spans="1:19" x14ac:dyDescent="0.25">
      <c r="A55" s="307" t="s">
        <v>695</v>
      </c>
      <c r="B55" s="277" t="s">
        <v>667</v>
      </c>
      <c r="C55" s="399">
        <f>IF($D$13+$D$27=0,0,(D25+D40)/($D$13+$D$27)*100)</f>
        <v>0</v>
      </c>
      <c r="D55" s="400">
        <f t="shared" si="18"/>
        <v>0</v>
      </c>
      <c r="E55" s="399">
        <f>IF($F$13+$F$27=0,0,(F25+F40)/($F$13+$F$27)*100)</f>
        <v>0</v>
      </c>
      <c r="F55" s="400">
        <f t="shared" si="19"/>
        <v>0</v>
      </c>
      <c r="G55" s="368" t="s">
        <v>653</v>
      </c>
      <c r="H55" s="368" t="s">
        <v>653</v>
      </c>
      <c r="I55" s="401">
        <f>IF($J$13+$J$27=0,0,(J25+J40)/($J$13+$J$27)*100)</f>
        <v>0</v>
      </c>
      <c r="J55" s="400">
        <f t="shared" si="20"/>
        <v>0</v>
      </c>
      <c r="K55" s="401">
        <f>IF($L$13+$L$27=0,0,(L25+L40)/($L$13+$L$27)*100)</f>
        <v>0</v>
      </c>
      <c r="L55" s="400">
        <f t="shared" si="22"/>
        <v>0</v>
      </c>
      <c r="M55" s="401">
        <f>IF($N$13+$N$27=0,0,(N25+N40)/($N$13+$N$27)*100)</f>
        <v>0</v>
      </c>
      <c r="N55" s="400">
        <f t="shared" si="23"/>
        <v>0</v>
      </c>
      <c r="O55" s="401">
        <f>IF($P$13+$P$27=0,0,(P25+P40)/($P$13+$P$27)*100)</f>
        <v>0</v>
      </c>
      <c r="P55" s="400">
        <f t="shared" si="24"/>
        <v>0</v>
      </c>
      <c r="Q55" s="401">
        <f>IF($R$13+$R$27=0,0,(R25+R40)/($R$13+$R$27)*100)</f>
        <v>0</v>
      </c>
      <c r="R55" s="400">
        <f t="shared" si="25"/>
        <v>0</v>
      </c>
      <c r="S55" s="387">
        <f>SUM(D55,F55,J55,L55,N55,P55,R55)</f>
        <v>0</v>
      </c>
    </row>
    <row r="56" spans="1:19" ht="15.75" thickBot="1" x14ac:dyDescent="0.3">
      <c r="A56" s="307" t="s">
        <v>696</v>
      </c>
      <c r="B56" s="324" t="s">
        <v>669</v>
      </c>
      <c r="C56" s="399">
        <f>IF($D$13+$D$27=0,0,(D26+D41)/($D$13+$D$27)*100)</f>
        <v>87.902825811183376</v>
      </c>
      <c r="D56" s="400">
        <f t="shared" si="18"/>
        <v>715.95325630152786</v>
      </c>
      <c r="E56" s="399">
        <f>IF($F$13+$F$27=0,0,(F26+F41)/($F$13+$F$27)*100)</f>
        <v>20.023918868663817</v>
      </c>
      <c r="F56" s="400">
        <f t="shared" si="19"/>
        <v>15.386795756193743</v>
      </c>
      <c r="G56" s="368" t="s">
        <v>653</v>
      </c>
      <c r="H56" s="368" t="s">
        <v>653</v>
      </c>
      <c r="I56" s="401">
        <f>IF($J$13+$J$27=0,0,(J26+J41)/($J$13+$J$27)*100)</f>
        <v>82.702140079608355</v>
      </c>
      <c r="J56" s="400">
        <f t="shared" si="20"/>
        <v>0</v>
      </c>
      <c r="K56" s="401">
        <f>IF($L$13+$L$27=0,0,(L26+L41)/($L$13+$L$27)*100)</f>
        <v>86.894000000000005</v>
      </c>
      <c r="L56" s="400">
        <f t="shared" si="22"/>
        <v>0</v>
      </c>
      <c r="M56" s="401">
        <f>IF($N$13+$N$27=0,0,(N26+N41)/($N$13+$N$27)*100)</f>
        <v>78.442764338276959</v>
      </c>
      <c r="N56" s="400">
        <f t="shared" si="23"/>
        <v>0</v>
      </c>
      <c r="O56" s="401">
        <f>IF($P$13+$P$27=0,0,(P26+P41)/($P$13+$P$27)*100)</f>
        <v>86.89400000000002</v>
      </c>
      <c r="P56" s="400">
        <f t="shared" si="24"/>
        <v>0</v>
      </c>
      <c r="Q56" s="401">
        <f>IF($R$13+$R$27=0,0,(R26+R41)/($R$13+$R$27)*100)</f>
        <v>0</v>
      </c>
      <c r="R56" s="400">
        <f t="shared" si="25"/>
        <v>0</v>
      </c>
      <c r="S56" s="387">
        <f>SUM(D56,F56,J56,L56,N56,P56,R56)</f>
        <v>731.34005205772155</v>
      </c>
    </row>
    <row r="57" spans="1:19" ht="30" thickTop="1" thickBot="1" x14ac:dyDescent="0.3">
      <c r="A57" s="388" t="s">
        <v>169</v>
      </c>
      <c r="B57" s="406" t="s">
        <v>721</v>
      </c>
      <c r="C57" s="390" t="s">
        <v>653</v>
      </c>
      <c r="D57" s="407">
        <f>SUM(D58,D68)</f>
        <v>1873.4374200000002</v>
      </c>
      <c r="E57" s="390" t="s">
        <v>653</v>
      </c>
      <c r="F57" s="407">
        <f>SUM(F58,F68)</f>
        <v>3687.5283300000001</v>
      </c>
      <c r="G57" s="392" t="s">
        <v>653</v>
      </c>
      <c r="H57" s="407">
        <f>SUM(H58,H68)</f>
        <v>14081.50049</v>
      </c>
      <c r="I57" s="392" t="s">
        <v>653</v>
      </c>
      <c r="J57" s="407">
        <f>SUM(J58,J68)</f>
        <v>699.21312</v>
      </c>
      <c r="K57" s="392" t="s">
        <v>653</v>
      </c>
      <c r="L57" s="407">
        <f>SUM(L58,L68)</f>
        <v>1143.0387599999999</v>
      </c>
      <c r="M57" s="392" t="s">
        <v>653</v>
      </c>
      <c r="N57" s="407">
        <f>SUM(N58,N68)</f>
        <v>144.08512999999999</v>
      </c>
      <c r="O57" s="392" t="s">
        <v>653</v>
      </c>
      <c r="P57" s="407">
        <f>SUM(P58,P68)</f>
        <v>26.213730000000005</v>
      </c>
      <c r="Q57" s="394" t="s">
        <v>653</v>
      </c>
      <c r="R57" s="407">
        <f>SUM(R58,R68)</f>
        <v>0</v>
      </c>
      <c r="S57" s="397">
        <f>SUM(D57,F57,H57,J57,L57,N57,P57,R57)</f>
        <v>21655.01698</v>
      </c>
    </row>
    <row r="58" spans="1:19" ht="26.25" thickTop="1" x14ac:dyDescent="0.25">
      <c r="A58" s="408" t="s">
        <v>171</v>
      </c>
      <c r="B58" s="359" t="s">
        <v>722</v>
      </c>
      <c r="C58" s="409" t="s">
        <v>653</v>
      </c>
      <c r="D58" s="410">
        <f>SUM(D59:D67)</f>
        <v>226.63298801587231</v>
      </c>
      <c r="E58" s="409" t="s">
        <v>653</v>
      </c>
      <c r="F58" s="410">
        <f>SUM(F59:F67)</f>
        <v>2949.1406489418064</v>
      </c>
      <c r="G58" s="411" t="s">
        <v>653</v>
      </c>
      <c r="H58" s="410">
        <f>SUM(H59:H67)</f>
        <v>14081.50049</v>
      </c>
      <c r="I58" s="411" t="s">
        <v>653</v>
      </c>
      <c r="J58" s="410">
        <f>SUM(J59:J67)</f>
        <v>120.9489060426</v>
      </c>
      <c r="K58" s="411" t="s">
        <v>653</v>
      </c>
      <c r="L58" s="410">
        <f>SUM(L59:L67)</f>
        <v>149.80665988559997</v>
      </c>
      <c r="M58" s="411" t="s">
        <v>653</v>
      </c>
      <c r="N58" s="410">
        <f>SUM(N59:N67)</f>
        <v>31.060771027599998</v>
      </c>
      <c r="O58" s="411" t="s">
        <v>653</v>
      </c>
      <c r="P58" s="410">
        <f>SUM(P59:P67)</f>
        <v>3.4355714537999997</v>
      </c>
      <c r="Q58" s="412" t="s">
        <v>653</v>
      </c>
      <c r="R58" s="410">
        <f>SUM(R59:R67)</f>
        <v>0</v>
      </c>
      <c r="S58" s="441">
        <f>SUM(S59,S60,S61,S62,S63,S64,S65,S66,S67)</f>
        <v>17562.526035367278</v>
      </c>
    </row>
    <row r="59" spans="1:19" x14ac:dyDescent="0.25">
      <c r="A59" s="307" t="s">
        <v>173</v>
      </c>
      <c r="B59" s="277" t="s">
        <v>598</v>
      </c>
      <c r="C59" s="414" t="s">
        <v>653</v>
      </c>
      <c r="D59" s="415">
        <f>SUM(D15,D30,D45)</f>
        <v>0</v>
      </c>
      <c r="E59" s="414" t="s">
        <v>653</v>
      </c>
      <c r="F59" s="415">
        <f>SUM(F15,F30,F45)</f>
        <v>0</v>
      </c>
      <c r="G59" s="368" t="s">
        <v>653</v>
      </c>
      <c r="H59" s="368" t="s">
        <v>653</v>
      </c>
      <c r="I59" s="368" t="s">
        <v>653</v>
      </c>
      <c r="J59" s="415">
        <f>SUM(J15,J30,J45)</f>
        <v>0</v>
      </c>
      <c r="K59" s="368" t="s">
        <v>653</v>
      </c>
      <c r="L59" s="416">
        <f>SUM(L15,L30,L45)</f>
        <v>0</v>
      </c>
      <c r="M59" s="368" t="s">
        <v>653</v>
      </c>
      <c r="N59" s="416">
        <f>SUM(N15,N30,N45)</f>
        <v>0</v>
      </c>
      <c r="O59" s="368" t="s">
        <v>653</v>
      </c>
      <c r="P59" s="416">
        <f>SUM(P15,P30,P45)</f>
        <v>0</v>
      </c>
      <c r="Q59" s="368" t="s">
        <v>653</v>
      </c>
      <c r="R59" s="417">
        <f>SUM(R15,R30,R45)</f>
        <v>0</v>
      </c>
      <c r="S59" s="418">
        <f>SUM(D59,F59,J59,L59,N59,P59,R59)</f>
        <v>0</v>
      </c>
    </row>
    <row r="60" spans="1:19" x14ac:dyDescent="0.25">
      <c r="A60" s="307" t="s">
        <v>176</v>
      </c>
      <c r="B60" s="277" t="s">
        <v>656</v>
      </c>
      <c r="C60" s="414" t="s">
        <v>653</v>
      </c>
      <c r="D60" s="415">
        <f t="shared" ref="D60:D67" si="29">SUM(D16,D31,D46)</f>
        <v>0</v>
      </c>
      <c r="E60" s="414" t="s">
        <v>653</v>
      </c>
      <c r="F60" s="415">
        <f t="shared" ref="F60:F67" si="30">SUM(F16,F31,F46)</f>
        <v>0</v>
      </c>
      <c r="G60" s="368" t="s">
        <v>653</v>
      </c>
      <c r="H60" s="368" t="s">
        <v>653</v>
      </c>
      <c r="I60" s="368" t="s">
        <v>653</v>
      </c>
      <c r="J60" s="415">
        <f t="shared" ref="J60:J67" si="31">SUM(J16,J31,J46)</f>
        <v>0</v>
      </c>
      <c r="K60" s="368" t="s">
        <v>653</v>
      </c>
      <c r="L60" s="416">
        <f t="shared" ref="L60:L64" si="32">SUM(L16,L31,L46)</f>
        <v>0</v>
      </c>
      <c r="M60" s="368" t="s">
        <v>653</v>
      </c>
      <c r="N60" s="416">
        <f t="shared" ref="N60:N67" si="33">SUM(N16,N31,N46)</f>
        <v>0</v>
      </c>
      <c r="O60" s="368" t="s">
        <v>653</v>
      </c>
      <c r="P60" s="416">
        <f t="shared" ref="P60:P67" si="34">SUM(P16,P31,P46)</f>
        <v>0</v>
      </c>
      <c r="Q60" s="368" t="s">
        <v>653</v>
      </c>
      <c r="R60" s="417">
        <f t="shared" ref="R60:R67" si="35">SUM(R16,R31,R46)</f>
        <v>0</v>
      </c>
      <c r="S60" s="418">
        <f t="shared" ref="S60:S61" si="36">SUM(D60,F60,J60,L60,N60,P60,R60)</f>
        <v>0</v>
      </c>
    </row>
    <row r="61" spans="1:19" x14ac:dyDescent="0.25">
      <c r="A61" s="307" t="s">
        <v>700</v>
      </c>
      <c r="B61" s="277" t="s">
        <v>606</v>
      </c>
      <c r="C61" s="414" t="s">
        <v>653</v>
      </c>
      <c r="D61" s="415">
        <f t="shared" si="29"/>
        <v>0</v>
      </c>
      <c r="E61" s="414" t="s">
        <v>653</v>
      </c>
      <c r="F61" s="415">
        <f t="shared" si="30"/>
        <v>0</v>
      </c>
      <c r="G61" s="368" t="s">
        <v>653</v>
      </c>
      <c r="H61" s="368" t="s">
        <v>653</v>
      </c>
      <c r="I61" s="368" t="s">
        <v>653</v>
      </c>
      <c r="J61" s="415">
        <f t="shared" si="31"/>
        <v>0</v>
      </c>
      <c r="K61" s="368" t="s">
        <v>653</v>
      </c>
      <c r="L61" s="416">
        <f t="shared" si="32"/>
        <v>0</v>
      </c>
      <c r="M61" s="368" t="s">
        <v>653</v>
      </c>
      <c r="N61" s="416">
        <f t="shared" si="33"/>
        <v>0</v>
      </c>
      <c r="O61" s="368" t="s">
        <v>653</v>
      </c>
      <c r="P61" s="416">
        <f t="shared" si="34"/>
        <v>0</v>
      </c>
      <c r="Q61" s="368" t="s">
        <v>653</v>
      </c>
      <c r="R61" s="417">
        <f t="shared" si="35"/>
        <v>0</v>
      </c>
      <c r="S61" s="418">
        <f t="shared" si="36"/>
        <v>0</v>
      </c>
    </row>
    <row r="62" spans="1:19" x14ac:dyDescent="0.25">
      <c r="A62" s="307" t="s">
        <v>701</v>
      </c>
      <c r="B62" s="277" t="s">
        <v>575</v>
      </c>
      <c r="C62" s="414" t="s">
        <v>653</v>
      </c>
      <c r="D62" s="415">
        <f t="shared" si="29"/>
        <v>0</v>
      </c>
      <c r="E62" s="414" t="s">
        <v>653</v>
      </c>
      <c r="F62" s="415">
        <f t="shared" si="30"/>
        <v>0</v>
      </c>
      <c r="G62" s="368" t="s">
        <v>653</v>
      </c>
      <c r="H62" s="419">
        <f>H18</f>
        <v>0</v>
      </c>
      <c r="I62" s="368" t="s">
        <v>653</v>
      </c>
      <c r="J62" s="415">
        <f t="shared" si="31"/>
        <v>0</v>
      </c>
      <c r="K62" s="368" t="s">
        <v>653</v>
      </c>
      <c r="L62" s="416">
        <f t="shared" si="32"/>
        <v>0</v>
      </c>
      <c r="M62" s="368" t="s">
        <v>653</v>
      </c>
      <c r="N62" s="416">
        <f t="shared" si="33"/>
        <v>0</v>
      </c>
      <c r="O62" s="368" t="s">
        <v>653</v>
      </c>
      <c r="P62" s="416">
        <f t="shared" si="34"/>
        <v>0</v>
      </c>
      <c r="Q62" s="368" t="s">
        <v>653</v>
      </c>
      <c r="R62" s="417">
        <f t="shared" si="35"/>
        <v>0</v>
      </c>
      <c r="S62" s="418">
        <f>SUM(D62,F62,H62,J62,L62,N62,P62,R62)</f>
        <v>0</v>
      </c>
    </row>
    <row r="63" spans="1:19" x14ac:dyDescent="0.25">
      <c r="A63" s="307" t="s">
        <v>702</v>
      </c>
      <c r="B63" s="277" t="s">
        <v>659</v>
      </c>
      <c r="C63" s="414" t="s">
        <v>653</v>
      </c>
      <c r="D63" s="415">
        <f t="shared" si="29"/>
        <v>0</v>
      </c>
      <c r="E63" s="414" t="s">
        <v>653</v>
      </c>
      <c r="F63" s="415">
        <f t="shared" si="30"/>
        <v>0</v>
      </c>
      <c r="G63" s="368" t="s">
        <v>653</v>
      </c>
      <c r="H63" s="419">
        <f>H19</f>
        <v>0</v>
      </c>
      <c r="I63" s="368" t="s">
        <v>653</v>
      </c>
      <c r="J63" s="415">
        <f t="shared" si="31"/>
        <v>0</v>
      </c>
      <c r="K63" s="368" t="s">
        <v>653</v>
      </c>
      <c r="L63" s="416">
        <f t="shared" si="32"/>
        <v>0</v>
      </c>
      <c r="M63" s="368" t="s">
        <v>653</v>
      </c>
      <c r="N63" s="416">
        <f t="shared" si="33"/>
        <v>0</v>
      </c>
      <c r="O63" s="368" t="s">
        <v>653</v>
      </c>
      <c r="P63" s="416">
        <f t="shared" si="34"/>
        <v>0</v>
      </c>
      <c r="Q63" s="368" t="s">
        <v>653</v>
      </c>
      <c r="R63" s="417">
        <f t="shared" si="35"/>
        <v>0</v>
      </c>
      <c r="S63" s="418">
        <f>SUM(D63,F63,H63,J63,L63,N63,P63,R63)</f>
        <v>0</v>
      </c>
    </row>
    <row r="64" spans="1:19" x14ac:dyDescent="0.25">
      <c r="A64" s="307" t="s">
        <v>703</v>
      </c>
      <c r="B64" s="277" t="s">
        <v>579</v>
      </c>
      <c r="C64" s="414" t="s">
        <v>653</v>
      </c>
      <c r="D64" s="415">
        <f t="shared" si="29"/>
        <v>0</v>
      </c>
      <c r="E64" s="414" t="s">
        <v>653</v>
      </c>
      <c r="F64" s="415">
        <f t="shared" si="30"/>
        <v>0</v>
      </c>
      <c r="G64" s="368" t="s">
        <v>653</v>
      </c>
      <c r="H64" s="368" t="s">
        <v>653</v>
      </c>
      <c r="I64" s="368" t="s">
        <v>653</v>
      </c>
      <c r="J64" s="415">
        <f>SUM(J20,J35,J50)</f>
        <v>0</v>
      </c>
      <c r="K64" s="368" t="s">
        <v>653</v>
      </c>
      <c r="L64" s="416">
        <f t="shared" si="32"/>
        <v>0</v>
      </c>
      <c r="M64" s="368" t="s">
        <v>653</v>
      </c>
      <c r="N64" s="416">
        <f t="shared" si="33"/>
        <v>0</v>
      </c>
      <c r="O64" s="368" t="s">
        <v>653</v>
      </c>
      <c r="P64" s="416">
        <f t="shared" si="34"/>
        <v>0</v>
      </c>
      <c r="Q64" s="368" t="s">
        <v>653</v>
      </c>
      <c r="R64" s="417">
        <f t="shared" si="35"/>
        <v>0</v>
      </c>
      <c r="S64" s="418">
        <f>SUM(D64,F64,J64,L64,N64,P64,R64)</f>
        <v>0</v>
      </c>
    </row>
    <row r="65" spans="1:19" x14ac:dyDescent="0.25">
      <c r="A65" s="307" t="s">
        <v>704</v>
      </c>
      <c r="B65" s="277" t="s">
        <v>585</v>
      </c>
      <c r="C65" s="414" t="s">
        <v>653</v>
      </c>
      <c r="D65" s="415">
        <f t="shared" si="29"/>
        <v>0</v>
      </c>
      <c r="E65" s="414" t="s">
        <v>653</v>
      </c>
      <c r="F65" s="415">
        <f t="shared" si="30"/>
        <v>0</v>
      </c>
      <c r="G65" s="368" t="s">
        <v>653</v>
      </c>
      <c r="H65" s="368" t="s">
        <v>653</v>
      </c>
      <c r="I65" s="368" t="s">
        <v>653</v>
      </c>
      <c r="J65" s="415">
        <f t="shared" si="31"/>
        <v>0</v>
      </c>
      <c r="K65" s="368" t="s">
        <v>653</v>
      </c>
      <c r="L65" s="416">
        <f>SUM(L21,L36,L51)</f>
        <v>0</v>
      </c>
      <c r="M65" s="368" t="s">
        <v>653</v>
      </c>
      <c r="N65" s="416">
        <f t="shared" si="33"/>
        <v>0</v>
      </c>
      <c r="O65" s="368" t="s">
        <v>653</v>
      </c>
      <c r="P65" s="416">
        <f t="shared" si="34"/>
        <v>0</v>
      </c>
      <c r="Q65" s="368" t="s">
        <v>653</v>
      </c>
      <c r="R65" s="417">
        <f t="shared" si="35"/>
        <v>0</v>
      </c>
      <c r="S65" s="418">
        <f>SUM(D65,F65,J65,L65,N65,P65,R65)</f>
        <v>0</v>
      </c>
    </row>
    <row r="66" spans="1:19" x14ac:dyDescent="0.25">
      <c r="A66" s="307" t="s">
        <v>705</v>
      </c>
      <c r="B66" s="277" t="s">
        <v>663</v>
      </c>
      <c r="C66" s="414" t="s">
        <v>653</v>
      </c>
      <c r="D66" s="415">
        <f t="shared" si="29"/>
        <v>226.63298801587231</v>
      </c>
      <c r="E66" s="414" t="s">
        <v>653</v>
      </c>
      <c r="F66" s="415">
        <f t="shared" si="30"/>
        <v>2949.1406489418064</v>
      </c>
      <c r="G66" s="368" t="s">
        <v>653</v>
      </c>
      <c r="H66" s="419">
        <f>H22</f>
        <v>14081.50049</v>
      </c>
      <c r="I66" s="368" t="s">
        <v>653</v>
      </c>
      <c r="J66" s="415">
        <f t="shared" si="31"/>
        <v>120.9489060426</v>
      </c>
      <c r="K66" s="368" t="s">
        <v>653</v>
      </c>
      <c r="L66" s="416">
        <f>SUM(L22,L37,L52)</f>
        <v>149.80665988559997</v>
      </c>
      <c r="M66" s="368" t="s">
        <v>653</v>
      </c>
      <c r="N66" s="416">
        <f t="shared" si="33"/>
        <v>31.060771027599998</v>
      </c>
      <c r="O66" s="368" t="s">
        <v>653</v>
      </c>
      <c r="P66" s="416">
        <f t="shared" si="34"/>
        <v>3.4355714537999997</v>
      </c>
      <c r="Q66" s="368" t="s">
        <v>653</v>
      </c>
      <c r="R66" s="417">
        <f t="shared" si="35"/>
        <v>0</v>
      </c>
      <c r="S66" s="418">
        <f>SUM(D66,F66,H66,J66,L66,N66,P66,R66)</f>
        <v>17562.526035367278</v>
      </c>
    </row>
    <row r="67" spans="1:19" ht="15.75" thickBot="1" x14ac:dyDescent="0.3">
      <c r="A67" s="323" t="s">
        <v>706</v>
      </c>
      <c r="B67" s="324" t="s">
        <v>596</v>
      </c>
      <c r="C67" s="420" t="s">
        <v>653</v>
      </c>
      <c r="D67" s="421">
        <f t="shared" si="29"/>
        <v>0</v>
      </c>
      <c r="E67" s="420" t="s">
        <v>653</v>
      </c>
      <c r="F67" s="421">
        <f t="shared" si="30"/>
        <v>0</v>
      </c>
      <c r="G67" s="377" t="s">
        <v>653</v>
      </c>
      <c r="H67" s="377" t="s">
        <v>653</v>
      </c>
      <c r="I67" s="377" t="s">
        <v>653</v>
      </c>
      <c r="J67" s="421">
        <f t="shared" si="31"/>
        <v>0</v>
      </c>
      <c r="K67" s="377" t="s">
        <v>653</v>
      </c>
      <c r="L67" s="422">
        <f>SUM(L23,L38,L53)</f>
        <v>0</v>
      </c>
      <c r="M67" s="377" t="s">
        <v>653</v>
      </c>
      <c r="N67" s="422">
        <f t="shared" si="33"/>
        <v>0</v>
      </c>
      <c r="O67" s="377" t="s">
        <v>653</v>
      </c>
      <c r="P67" s="422">
        <f t="shared" si="34"/>
        <v>0</v>
      </c>
      <c r="Q67" s="377" t="s">
        <v>653</v>
      </c>
      <c r="R67" s="422">
        <f t="shared" si="35"/>
        <v>0</v>
      </c>
      <c r="S67" s="424">
        <f>SUM(D67,F67,J67,L67,N67,P67,R67)</f>
        <v>0</v>
      </c>
    </row>
    <row r="68" spans="1:19" ht="26.25" thickTop="1" x14ac:dyDescent="0.25">
      <c r="A68" s="229" t="s">
        <v>178</v>
      </c>
      <c r="B68" s="333" t="s">
        <v>723</v>
      </c>
      <c r="C68" s="425" t="s">
        <v>653</v>
      </c>
      <c r="D68" s="383">
        <f>SUM(D69,D70)</f>
        <v>1646.8044319841279</v>
      </c>
      <c r="E68" s="425" t="s">
        <v>653</v>
      </c>
      <c r="F68" s="383">
        <f>SUM(F69,F70)</f>
        <v>738.38768105819383</v>
      </c>
      <c r="G68" s="384" t="s">
        <v>653</v>
      </c>
      <c r="H68" s="383">
        <f>SUM(H69,H70)</f>
        <v>0</v>
      </c>
      <c r="I68" s="384" t="s">
        <v>653</v>
      </c>
      <c r="J68" s="383">
        <f>SUM(J69,J70)</f>
        <v>578.26421395739999</v>
      </c>
      <c r="K68" s="384" t="s">
        <v>653</v>
      </c>
      <c r="L68" s="383">
        <f>SUM(L69,L70)</f>
        <v>993.23210011439994</v>
      </c>
      <c r="M68" s="384" t="s">
        <v>653</v>
      </c>
      <c r="N68" s="383">
        <f>SUM(N69,N70)</f>
        <v>113.02435897239999</v>
      </c>
      <c r="O68" s="384" t="s">
        <v>653</v>
      </c>
      <c r="P68" s="383">
        <f>SUM(P69,P70)</f>
        <v>22.778158546200004</v>
      </c>
      <c r="Q68" s="384" t="s">
        <v>653</v>
      </c>
      <c r="R68" s="383">
        <f>SUM(R69,R70)</f>
        <v>0</v>
      </c>
      <c r="S68" s="386">
        <f>SUM(S69,S70)</f>
        <v>4092.4909446327215</v>
      </c>
    </row>
    <row r="69" spans="1:19" x14ac:dyDescent="0.25">
      <c r="A69" s="307" t="s">
        <v>180</v>
      </c>
      <c r="B69" s="277" t="s">
        <v>667</v>
      </c>
      <c r="C69" s="414" t="s">
        <v>653</v>
      </c>
      <c r="D69" s="415">
        <f>SUM(D25,D40,D55)</f>
        <v>0</v>
      </c>
      <c r="E69" s="414" t="s">
        <v>653</v>
      </c>
      <c r="F69" s="415">
        <f>SUM(F25,F40,F55)</f>
        <v>0</v>
      </c>
      <c r="G69" s="368" t="s">
        <v>653</v>
      </c>
      <c r="H69" s="426">
        <f>H25</f>
        <v>0</v>
      </c>
      <c r="I69" s="368" t="s">
        <v>653</v>
      </c>
      <c r="J69" s="415">
        <f>SUM(J25,J40,J55)</f>
        <v>0</v>
      </c>
      <c r="K69" s="368" t="s">
        <v>653</v>
      </c>
      <c r="L69" s="416">
        <f>SUM(L25,L40,L55)</f>
        <v>0</v>
      </c>
      <c r="M69" s="368" t="s">
        <v>653</v>
      </c>
      <c r="N69" s="416">
        <f>SUM(N25,N40,N55)</f>
        <v>0</v>
      </c>
      <c r="O69" s="368" t="s">
        <v>653</v>
      </c>
      <c r="P69" s="416">
        <f>SUM(P25,P40,P55)</f>
        <v>0</v>
      </c>
      <c r="Q69" s="368" t="s">
        <v>653</v>
      </c>
      <c r="R69" s="417">
        <f>SUM(R25,R40,R55)</f>
        <v>0</v>
      </c>
      <c r="S69" s="418">
        <f>SUM(D69,F69,H69,J69,L69,N69,P69,R69)</f>
        <v>0</v>
      </c>
    </row>
    <row r="70" spans="1:19" ht="15.75" thickBot="1" x14ac:dyDescent="0.3">
      <c r="A70" s="427" t="s">
        <v>708</v>
      </c>
      <c r="B70" s="428" t="s">
        <v>669</v>
      </c>
      <c r="C70" s="429" t="s">
        <v>653</v>
      </c>
      <c r="D70" s="430">
        <f>SUM(D26,D41,D56)</f>
        <v>1646.8044319841279</v>
      </c>
      <c r="E70" s="429" t="s">
        <v>653</v>
      </c>
      <c r="F70" s="430">
        <f>SUM(F26,F41,F56)</f>
        <v>738.38768105819383</v>
      </c>
      <c r="G70" s="431" t="s">
        <v>653</v>
      </c>
      <c r="H70" s="432">
        <f>H26</f>
        <v>0</v>
      </c>
      <c r="I70" s="431" t="s">
        <v>653</v>
      </c>
      <c r="J70" s="430">
        <f>SUM(J26,J41,J56)</f>
        <v>578.26421395739999</v>
      </c>
      <c r="K70" s="431" t="s">
        <v>653</v>
      </c>
      <c r="L70" s="433">
        <f>SUM(L26,L41,L56)</f>
        <v>993.23210011439994</v>
      </c>
      <c r="M70" s="431" t="s">
        <v>653</v>
      </c>
      <c r="N70" s="433">
        <f>SUM(N26,N41,N56)</f>
        <v>113.02435897239999</v>
      </c>
      <c r="O70" s="431" t="s">
        <v>653</v>
      </c>
      <c r="P70" s="433">
        <f>SUM(P26,P41,P56)</f>
        <v>22.778158546200004</v>
      </c>
      <c r="Q70" s="431" t="s">
        <v>653</v>
      </c>
      <c r="R70" s="434">
        <f>SUM(R26,R41,R56)</f>
        <v>0</v>
      </c>
      <c r="S70" s="435">
        <f>SUM(D70,F70,H70,J70,L70,N70,P70,R70)</f>
        <v>4092.4909446327215</v>
      </c>
    </row>
  </sheetData>
  <sheetProtection algorithmName="SHA-512" hashValue="2T8zTix9cBJrbNghEtQiHWmK8iiXk7A3zX5GpM7LWwZ6kacXv4AkPn6TmbRCd5oO1zYNz0rtJaZGvOKN3fjtQg==" saltValue="0BehxaQHQ7miHVv9yc1rIG336PZYa/jb0/AqtILLXdOSaKFgpAGJpwp0MOi4aGGg8+jJ/Siuo/XjQE8C9u4kHw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workbookViewId="0">
      <selection activeCell="D10" sqref="D10"/>
    </sheetView>
  </sheetViews>
  <sheetFormatPr defaultRowHeight="15" x14ac:dyDescent="0.2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 x14ac:dyDescent="0.25">
      <c r="A1" s="960" t="s">
        <v>0</v>
      </c>
      <c r="B1" s="961"/>
      <c r="C1" s="961"/>
      <c r="D1" s="962"/>
    </row>
    <row r="2" spans="1:6" x14ac:dyDescent="0.25">
      <c r="A2" s="960" t="s">
        <v>1</v>
      </c>
      <c r="B2" s="961"/>
      <c r="C2" s="961"/>
      <c r="D2" s="962"/>
    </row>
    <row r="3" spans="1:6" x14ac:dyDescent="0.25">
      <c r="A3" s="963"/>
      <c r="B3" s="964"/>
      <c r="C3" s="964"/>
      <c r="D3" s="965"/>
    </row>
    <row r="4" spans="1:6" x14ac:dyDescent="0.25">
      <c r="A4" s="1"/>
      <c r="B4" s="1"/>
      <c r="C4" s="1"/>
      <c r="D4" s="1"/>
    </row>
    <row r="5" spans="1:6" x14ac:dyDescent="0.25">
      <c r="A5" s="966" t="s">
        <v>724</v>
      </c>
      <c r="B5" s="967"/>
      <c r="C5" s="967"/>
      <c r="D5" s="968"/>
    </row>
    <row r="6" spans="1:6" x14ac:dyDescent="0.25">
      <c r="A6" s="1"/>
      <c r="B6" s="1"/>
      <c r="C6" s="1"/>
      <c r="D6" s="1"/>
    </row>
    <row r="8" spans="1:6" ht="15.75" thickBot="1" x14ac:dyDescent="0.3">
      <c r="B8" s="1034" t="s">
        <v>725</v>
      </c>
      <c r="C8" s="1034"/>
      <c r="D8" s="1034"/>
    </row>
    <row r="9" spans="1:6" ht="21" customHeight="1" thickBot="1" x14ac:dyDescent="0.3">
      <c r="A9" s="442" t="s">
        <v>4</v>
      </c>
      <c r="B9" s="109" t="s">
        <v>726</v>
      </c>
      <c r="C9" s="443" t="s">
        <v>160</v>
      </c>
      <c r="D9" s="50" t="s">
        <v>1600</v>
      </c>
      <c r="F9" s="7"/>
    </row>
    <row r="10" spans="1:6" x14ac:dyDescent="0.25">
      <c r="A10" s="85" t="s">
        <v>494</v>
      </c>
      <c r="B10" s="87" t="s">
        <v>727</v>
      </c>
      <c r="C10" s="87" t="s">
        <v>480</v>
      </c>
      <c r="D10" s="444">
        <f>SUM(D11,D12,D13,D40,D45,D46)</f>
        <v>459.25</v>
      </c>
      <c r="F10" s="7"/>
    </row>
    <row r="11" spans="1:6" x14ac:dyDescent="0.25">
      <c r="A11" s="57" t="s">
        <v>496</v>
      </c>
      <c r="B11" s="39" t="s">
        <v>728</v>
      </c>
      <c r="C11" s="13" t="s">
        <v>480</v>
      </c>
      <c r="D11" s="445">
        <v>253.5</v>
      </c>
      <c r="F11" s="7"/>
    </row>
    <row r="12" spans="1:6" x14ac:dyDescent="0.25">
      <c r="A12" s="57" t="s">
        <v>546</v>
      </c>
      <c r="B12" s="13" t="s">
        <v>729</v>
      </c>
      <c r="C12" s="13" t="s">
        <v>480</v>
      </c>
      <c r="D12" s="445">
        <v>0</v>
      </c>
      <c r="F12" s="7"/>
    </row>
    <row r="13" spans="1:6" x14ac:dyDescent="0.25">
      <c r="A13" s="57">
        <v>1</v>
      </c>
      <c r="B13" s="39" t="s">
        <v>730</v>
      </c>
      <c r="C13" s="13" t="s">
        <v>480</v>
      </c>
      <c r="D13" s="446">
        <f>SUM(D14,D15,D16,D20,D21,D22,D26,D31,D38,D39)</f>
        <v>48.5</v>
      </c>
      <c r="F13" s="7"/>
    </row>
    <row r="14" spans="1:6" x14ac:dyDescent="0.25">
      <c r="A14" s="57" t="s">
        <v>285</v>
      </c>
      <c r="B14" s="31" t="s">
        <v>731</v>
      </c>
      <c r="C14" s="13" t="s">
        <v>480</v>
      </c>
      <c r="D14" s="445">
        <v>0</v>
      </c>
      <c r="F14" s="7"/>
    </row>
    <row r="15" spans="1:6" x14ac:dyDescent="0.25">
      <c r="A15" s="57" t="s">
        <v>295</v>
      </c>
      <c r="B15" s="13" t="s">
        <v>732</v>
      </c>
      <c r="C15" s="13" t="s">
        <v>480</v>
      </c>
      <c r="D15" s="445">
        <v>0</v>
      </c>
      <c r="F15" s="7"/>
    </row>
    <row r="16" spans="1:6" x14ac:dyDescent="0.25">
      <c r="A16" s="57" t="s">
        <v>297</v>
      </c>
      <c r="B16" s="13" t="s">
        <v>733</v>
      </c>
      <c r="C16" s="13" t="s">
        <v>480</v>
      </c>
      <c r="D16" s="446">
        <f>SUM(D17,D18,D19)</f>
        <v>0</v>
      </c>
    </row>
    <row r="17" spans="1:4" x14ac:dyDescent="0.25">
      <c r="A17" s="79" t="s">
        <v>734</v>
      </c>
      <c r="B17" s="65" t="s">
        <v>735</v>
      </c>
      <c r="C17" s="13" t="s">
        <v>480</v>
      </c>
      <c r="D17" s="447">
        <v>0</v>
      </c>
    </row>
    <row r="18" spans="1:4" x14ac:dyDescent="0.25">
      <c r="A18" s="79" t="s">
        <v>736</v>
      </c>
      <c r="B18" s="65" t="s">
        <v>737</v>
      </c>
      <c r="C18" s="37" t="s">
        <v>480</v>
      </c>
      <c r="D18" s="447">
        <v>0</v>
      </c>
    </row>
    <row r="19" spans="1:4" x14ac:dyDescent="0.25">
      <c r="A19" s="79" t="s">
        <v>738</v>
      </c>
      <c r="B19" s="65" t="s">
        <v>739</v>
      </c>
      <c r="C19" s="37" t="s">
        <v>480</v>
      </c>
      <c r="D19" s="447">
        <v>0</v>
      </c>
    </row>
    <row r="20" spans="1:4" x14ac:dyDescent="0.25">
      <c r="A20" s="57" t="s">
        <v>16</v>
      </c>
      <c r="B20" s="13" t="s">
        <v>740</v>
      </c>
      <c r="C20" s="13" t="s">
        <v>480</v>
      </c>
      <c r="D20" s="445">
        <v>0</v>
      </c>
    </row>
    <row r="21" spans="1:4" x14ac:dyDescent="0.25">
      <c r="A21" s="57" t="s">
        <v>18</v>
      </c>
      <c r="B21" s="13" t="s">
        <v>741</v>
      </c>
      <c r="C21" s="13" t="s">
        <v>480</v>
      </c>
      <c r="D21" s="445">
        <v>2.83</v>
      </c>
    </row>
    <row r="22" spans="1:4" x14ac:dyDescent="0.25">
      <c r="A22" s="57" t="s">
        <v>20</v>
      </c>
      <c r="B22" s="13" t="s">
        <v>742</v>
      </c>
      <c r="C22" s="13" t="s">
        <v>480</v>
      </c>
      <c r="D22" s="446">
        <f>SUM(D23,D24,D25)</f>
        <v>0</v>
      </c>
    </row>
    <row r="23" spans="1:4" x14ac:dyDescent="0.25">
      <c r="A23" s="79" t="s">
        <v>743</v>
      </c>
      <c r="B23" s="65" t="s">
        <v>735</v>
      </c>
      <c r="C23" s="13" t="s">
        <v>480</v>
      </c>
      <c r="D23" s="448">
        <v>0</v>
      </c>
    </row>
    <row r="24" spans="1:4" x14ac:dyDescent="0.25">
      <c r="A24" s="79" t="s">
        <v>744</v>
      </c>
      <c r="B24" s="65" t="s">
        <v>745</v>
      </c>
      <c r="C24" s="37" t="s">
        <v>480</v>
      </c>
      <c r="D24" s="448">
        <v>0</v>
      </c>
    </row>
    <row r="25" spans="1:4" x14ac:dyDescent="0.25">
      <c r="A25" s="79" t="s">
        <v>746</v>
      </c>
      <c r="B25" s="65" t="s">
        <v>739</v>
      </c>
      <c r="C25" s="37" t="s">
        <v>480</v>
      </c>
      <c r="D25" s="448">
        <v>0</v>
      </c>
    </row>
    <row r="26" spans="1:4" x14ac:dyDescent="0.25">
      <c r="A26" s="57" t="s">
        <v>747</v>
      </c>
      <c r="B26" s="13" t="s">
        <v>517</v>
      </c>
      <c r="C26" s="13" t="s">
        <v>480</v>
      </c>
      <c r="D26" s="446">
        <f>SUM(D27,D28,D29,D30)</f>
        <v>0</v>
      </c>
    </row>
    <row r="27" spans="1:4" x14ac:dyDescent="0.25">
      <c r="A27" s="79" t="s">
        <v>748</v>
      </c>
      <c r="B27" s="65" t="s">
        <v>749</v>
      </c>
      <c r="C27" s="37" t="s">
        <v>480</v>
      </c>
      <c r="D27" s="447">
        <v>0</v>
      </c>
    </row>
    <row r="28" spans="1:4" x14ac:dyDescent="0.25">
      <c r="A28" s="79" t="s">
        <v>750</v>
      </c>
      <c r="B28" s="65" t="s">
        <v>751</v>
      </c>
      <c r="C28" s="37" t="s">
        <v>480</v>
      </c>
      <c r="D28" s="447">
        <v>0</v>
      </c>
    </row>
    <row r="29" spans="1:4" x14ac:dyDescent="0.25">
      <c r="A29" s="79" t="s">
        <v>752</v>
      </c>
      <c r="B29" s="65" t="s">
        <v>753</v>
      </c>
      <c r="C29" s="37" t="s">
        <v>480</v>
      </c>
      <c r="D29" s="447">
        <v>0</v>
      </c>
    </row>
    <row r="30" spans="1:4" x14ac:dyDescent="0.25">
      <c r="A30" s="79" t="s">
        <v>754</v>
      </c>
      <c r="B30" s="65" t="s">
        <v>755</v>
      </c>
      <c r="C30" s="37" t="s">
        <v>480</v>
      </c>
      <c r="D30" s="447">
        <v>0</v>
      </c>
    </row>
    <row r="31" spans="1:4" x14ac:dyDescent="0.25">
      <c r="A31" s="57" t="s">
        <v>756</v>
      </c>
      <c r="B31" s="13" t="s">
        <v>757</v>
      </c>
      <c r="C31" s="13" t="s">
        <v>480</v>
      </c>
      <c r="D31" s="446">
        <f>SUM(D32,D34,D35,D36,D37)</f>
        <v>0</v>
      </c>
    </row>
    <row r="32" spans="1:4" x14ac:dyDescent="0.25">
      <c r="A32" s="79" t="s">
        <v>758</v>
      </c>
      <c r="B32" s="65" t="s">
        <v>759</v>
      </c>
      <c r="C32" s="37" t="s">
        <v>480</v>
      </c>
      <c r="D32" s="447">
        <v>0</v>
      </c>
    </row>
    <row r="33" spans="1:4" x14ac:dyDescent="0.25">
      <c r="A33" s="57" t="s">
        <v>760</v>
      </c>
      <c r="B33" s="31" t="s">
        <v>761</v>
      </c>
      <c r="C33" s="13" t="s">
        <v>480</v>
      </c>
      <c r="D33" s="449">
        <v>0</v>
      </c>
    </row>
    <row r="34" spans="1:4" x14ac:dyDescent="0.25">
      <c r="A34" s="79" t="s">
        <v>762</v>
      </c>
      <c r="B34" s="65" t="s">
        <v>763</v>
      </c>
      <c r="C34" s="37" t="s">
        <v>480</v>
      </c>
      <c r="D34" s="447">
        <v>0</v>
      </c>
    </row>
    <row r="35" spans="1:4" x14ac:dyDescent="0.25">
      <c r="A35" s="79" t="s">
        <v>764</v>
      </c>
      <c r="B35" s="65" t="s">
        <v>765</v>
      </c>
      <c r="C35" s="37" t="s">
        <v>480</v>
      </c>
      <c r="D35" s="447">
        <v>0</v>
      </c>
    </row>
    <row r="36" spans="1:4" ht="26.25" customHeight="1" x14ac:dyDescent="0.25">
      <c r="A36" s="79" t="s">
        <v>766</v>
      </c>
      <c r="B36" s="98" t="s">
        <v>767</v>
      </c>
      <c r="C36" s="37" t="s">
        <v>480</v>
      </c>
      <c r="D36" s="447">
        <v>0</v>
      </c>
    </row>
    <row r="37" spans="1:4" x14ac:dyDescent="0.25">
      <c r="A37" s="79" t="s">
        <v>768</v>
      </c>
      <c r="B37" s="65" t="s">
        <v>769</v>
      </c>
      <c r="C37" s="37" t="s">
        <v>480</v>
      </c>
      <c r="D37" s="447">
        <v>0</v>
      </c>
    </row>
    <row r="38" spans="1:4" x14ac:dyDescent="0.25">
      <c r="A38" s="57" t="s">
        <v>770</v>
      </c>
      <c r="B38" s="13" t="s">
        <v>771</v>
      </c>
      <c r="C38" s="37" t="s">
        <v>480</v>
      </c>
      <c r="D38" s="447">
        <v>45.67</v>
      </c>
    </row>
    <row r="39" spans="1:4" x14ac:dyDescent="0.25">
      <c r="A39" s="57" t="s">
        <v>772</v>
      </c>
      <c r="B39" s="13" t="s">
        <v>596</v>
      </c>
      <c r="C39" s="37" t="s">
        <v>480</v>
      </c>
      <c r="D39" s="445">
        <v>0</v>
      </c>
    </row>
    <row r="40" spans="1:4" x14ac:dyDescent="0.25">
      <c r="A40" s="57" t="s">
        <v>351</v>
      </c>
      <c r="B40" s="230" t="s">
        <v>773</v>
      </c>
      <c r="C40" s="13" t="s">
        <v>480</v>
      </c>
      <c r="D40" s="450">
        <f>SUM(D41,D42,D43,D44)</f>
        <v>134.57999999999998</v>
      </c>
    </row>
    <row r="41" spans="1:4" x14ac:dyDescent="0.25">
      <c r="A41" s="79" t="s">
        <v>300</v>
      </c>
      <c r="B41" s="65" t="s">
        <v>774</v>
      </c>
      <c r="C41" s="37" t="s">
        <v>480</v>
      </c>
      <c r="D41" s="447">
        <v>98.5</v>
      </c>
    </row>
    <row r="42" spans="1:4" x14ac:dyDescent="0.25">
      <c r="A42" s="79" t="s">
        <v>354</v>
      </c>
      <c r="B42" s="65" t="s">
        <v>775</v>
      </c>
      <c r="C42" s="37" t="s">
        <v>480</v>
      </c>
      <c r="D42" s="447">
        <v>9.2899999999999991</v>
      </c>
    </row>
    <row r="43" spans="1:4" x14ac:dyDescent="0.25">
      <c r="A43" s="79" t="s">
        <v>356</v>
      </c>
      <c r="B43" s="65" t="s">
        <v>776</v>
      </c>
      <c r="C43" s="37" t="s">
        <v>480</v>
      </c>
      <c r="D43" s="447">
        <v>17.5</v>
      </c>
    </row>
    <row r="44" spans="1:4" x14ac:dyDescent="0.25">
      <c r="A44" s="79" t="s">
        <v>358</v>
      </c>
      <c r="B44" s="65" t="s">
        <v>777</v>
      </c>
      <c r="C44" s="37" t="s">
        <v>480</v>
      </c>
      <c r="D44" s="447">
        <v>9.2899999999999991</v>
      </c>
    </row>
    <row r="45" spans="1:4" x14ac:dyDescent="0.25">
      <c r="A45" s="57" t="s">
        <v>364</v>
      </c>
      <c r="B45" s="39" t="s">
        <v>778</v>
      </c>
      <c r="C45" s="13" t="s">
        <v>480</v>
      </c>
      <c r="D45" s="451">
        <v>22.67</v>
      </c>
    </row>
    <row r="46" spans="1:4" ht="25.5" x14ac:dyDescent="0.25">
      <c r="A46" s="147" t="s">
        <v>169</v>
      </c>
      <c r="B46" s="452" t="s">
        <v>779</v>
      </c>
      <c r="C46" s="148" t="s">
        <v>480</v>
      </c>
      <c r="D46" s="453">
        <v>0</v>
      </c>
    </row>
    <row r="47" spans="1:4" ht="26.25" thickBot="1" x14ac:dyDescent="0.3">
      <c r="A47" s="105" t="s">
        <v>171</v>
      </c>
      <c r="B47" s="454" t="s">
        <v>780</v>
      </c>
      <c r="C47" s="105" t="s">
        <v>480</v>
      </c>
      <c r="D47" s="455">
        <v>0</v>
      </c>
    </row>
    <row r="48" spans="1:4" x14ac:dyDescent="0.25">
      <c r="A48" s="456"/>
      <c r="B48" s="457"/>
      <c r="C48" s="456"/>
      <c r="D48" s="458"/>
    </row>
  </sheetData>
  <sheetProtection algorithmName="SHA-512" hashValue="MywQ8AlKd/qdjjeExd3LUqJ9+8C+Yv8OybQHwb4EhB9n10Sl3tsL8myM5ns3BWIOhFIJtKL8beLQCV13d1x9PA==" saltValue="VYCl+SpuOPFU+n4i3SgsDICx8KVXwFOnfvUzEYX6zsM/j1MSwY/lxjAGKxRCBjBBvv8ZYSVDYaNqmGztgDNQg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64"/>
  <sheetViews>
    <sheetView topLeftCell="A13" workbookViewId="0">
      <selection activeCell="D26" sqref="D26"/>
    </sheetView>
  </sheetViews>
  <sheetFormatPr defaultRowHeight="15" x14ac:dyDescent="0.2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2"/>
    </row>
    <row r="2" spans="1:19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2"/>
    </row>
    <row r="3" spans="1:19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5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x14ac:dyDescent="0.25">
      <c r="A5" s="966" t="s">
        <v>781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8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 x14ac:dyDescent="0.3">
      <c r="A8" s="459"/>
      <c r="B8" s="460"/>
      <c r="C8" s="460"/>
      <c r="D8" s="460"/>
      <c r="E8" s="460"/>
      <c r="F8" s="460"/>
      <c r="G8" s="460"/>
      <c r="H8" s="460"/>
      <c r="I8" s="460"/>
      <c r="J8" s="1061" t="s">
        <v>782</v>
      </c>
      <c r="K8" s="1061"/>
      <c r="L8" s="1061"/>
      <c r="M8" s="1061"/>
      <c r="N8" s="1061"/>
      <c r="O8" s="1061"/>
      <c r="P8" s="1061"/>
      <c r="Q8" s="1061"/>
      <c r="R8" s="461"/>
    </row>
    <row r="9" spans="1:19" ht="20.25" customHeight="1" x14ac:dyDescent="0.25">
      <c r="A9" s="1037" t="s">
        <v>4</v>
      </c>
      <c r="B9" s="1056" t="s">
        <v>5</v>
      </c>
      <c r="C9" s="1058" t="s">
        <v>160</v>
      </c>
      <c r="D9" s="1040" t="s">
        <v>783</v>
      </c>
      <c r="E9" s="1037" t="s">
        <v>784</v>
      </c>
      <c r="F9" s="1035" t="s">
        <v>785</v>
      </c>
      <c r="G9" s="1035"/>
      <c r="H9" s="1035"/>
      <c r="I9" s="1035"/>
      <c r="J9" s="1035"/>
      <c r="K9" s="1035"/>
      <c r="L9" s="1035"/>
      <c r="M9" s="1035"/>
      <c r="N9" s="1036"/>
      <c r="O9" s="1037" t="s">
        <v>786</v>
      </c>
      <c r="P9" s="1040" t="s">
        <v>787</v>
      </c>
      <c r="Q9" s="1043" t="s">
        <v>492</v>
      </c>
      <c r="R9" s="462"/>
      <c r="S9" s="7"/>
    </row>
    <row r="10" spans="1:19" ht="15" customHeight="1" x14ac:dyDescent="0.25">
      <c r="A10" s="1038"/>
      <c r="B10" s="1025"/>
      <c r="C10" s="1059"/>
      <c r="D10" s="1041"/>
      <c r="E10" s="1038"/>
      <c r="F10" s="1046" t="s">
        <v>788</v>
      </c>
      <c r="G10" s="1049" t="s">
        <v>789</v>
      </c>
      <c r="H10" s="1049"/>
      <c r="I10" s="1049"/>
      <c r="J10" s="1050" t="s">
        <v>790</v>
      </c>
      <c r="K10" s="1051"/>
      <c r="L10" s="1051"/>
      <c r="M10" s="1051"/>
      <c r="N10" s="1052"/>
      <c r="O10" s="1038"/>
      <c r="P10" s="1041"/>
      <c r="Q10" s="1044"/>
      <c r="R10" s="462"/>
      <c r="S10" s="7"/>
    </row>
    <row r="11" spans="1:19" ht="20.25" customHeight="1" x14ac:dyDescent="0.25">
      <c r="A11" s="1038"/>
      <c r="B11" s="1025"/>
      <c r="C11" s="1059"/>
      <c r="D11" s="1041"/>
      <c r="E11" s="1038"/>
      <c r="F11" s="1047"/>
      <c r="G11" s="1049"/>
      <c r="H11" s="1049"/>
      <c r="I11" s="1049"/>
      <c r="J11" s="1053"/>
      <c r="K11" s="1054"/>
      <c r="L11" s="1054"/>
      <c r="M11" s="1054"/>
      <c r="N11" s="1055"/>
      <c r="O11" s="1038"/>
      <c r="P11" s="1041"/>
      <c r="Q11" s="1044"/>
      <c r="R11" s="462"/>
      <c r="S11" s="7"/>
    </row>
    <row r="12" spans="1:19" ht="92.25" customHeight="1" thickBot="1" x14ac:dyDescent="0.3">
      <c r="A12" s="1039"/>
      <c r="B12" s="1057"/>
      <c r="C12" s="1060"/>
      <c r="D12" s="1042"/>
      <c r="E12" s="1039"/>
      <c r="F12" s="1048"/>
      <c r="G12" s="463" t="s">
        <v>791</v>
      </c>
      <c r="H12" s="463" t="s">
        <v>792</v>
      </c>
      <c r="I12" s="463" t="s">
        <v>793</v>
      </c>
      <c r="J12" s="463" t="s">
        <v>794</v>
      </c>
      <c r="K12" s="463" t="s">
        <v>795</v>
      </c>
      <c r="L12" s="463" t="s">
        <v>796</v>
      </c>
      <c r="M12" s="464" t="s">
        <v>797</v>
      </c>
      <c r="N12" s="465" t="s">
        <v>798</v>
      </c>
      <c r="O12" s="1039"/>
      <c r="P12" s="1042"/>
      <c r="Q12" s="1045"/>
      <c r="R12" s="462"/>
      <c r="S12" s="466"/>
    </row>
    <row r="13" spans="1:19" x14ac:dyDescent="0.25">
      <c r="A13" s="467">
        <v>1</v>
      </c>
      <c r="B13" s="8">
        <v>2</v>
      </c>
      <c r="C13" s="8">
        <v>3</v>
      </c>
      <c r="D13" s="468">
        <v>4</v>
      </c>
      <c r="E13" s="469">
        <v>5</v>
      </c>
      <c r="F13" s="470">
        <v>6</v>
      </c>
      <c r="G13" s="470">
        <v>7</v>
      </c>
      <c r="H13" s="470">
        <v>8</v>
      </c>
      <c r="I13" s="8">
        <v>9</v>
      </c>
      <c r="J13" s="470">
        <v>10</v>
      </c>
      <c r="K13" s="471">
        <v>11</v>
      </c>
      <c r="L13" s="471">
        <v>12</v>
      </c>
      <c r="M13" s="8">
        <v>13</v>
      </c>
      <c r="N13" s="472">
        <v>14</v>
      </c>
      <c r="O13" s="467">
        <v>15</v>
      </c>
      <c r="P13" s="472">
        <v>16</v>
      </c>
      <c r="Q13" s="473">
        <v>17</v>
      </c>
      <c r="R13" s="462"/>
    </row>
    <row r="14" spans="1:19" ht="28.5" customHeight="1" x14ac:dyDescent="0.25">
      <c r="A14" s="229" t="s">
        <v>347</v>
      </c>
      <c r="B14" s="474" t="s">
        <v>799</v>
      </c>
      <c r="C14" s="475" t="s">
        <v>645</v>
      </c>
      <c r="D14" s="476">
        <f>SUM(D15,D16,D17,D23:D29,D33)</f>
        <v>4122.1192424509809</v>
      </c>
      <c r="E14" s="477">
        <f>SUM(E15,E16,E17,E23:E29,E33)</f>
        <v>540.24494791562552</v>
      </c>
      <c r="F14" s="478">
        <f t="shared" ref="F14:P14" si="0">SUM(F15,F16,F17,F23:F29,F33)</f>
        <v>0</v>
      </c>
      <c r="G14" s="478">
        <f t="shared" si="0"/>
        <v>0</v>
      </c>
      <c r="H14" s="478">
        <f t="shared" si="0"/>
        <v>0</v>
      </c>
      <c r="I14" s="478">
        <f t="shared" si="0"/>
        <v>0</v>
      </c>
      <c r="J14" s="478">
        <f t="shared" si="0"/>
        <v>0</v>
      </c>
      <c r="K14" s="478">
        <f t="shared" si="0"/>
        <v>0</v>
      </c>
      <c r="L14" s="478">
        <f t="shared" si="0"/>
        <v>0</v>
      </c>
      <c r="M14" s="478">
        <f t="shared" si="0"/>
        <v>540.24494791562552</v>
      </c>
      <c r="N14" s="476">
        <f t="shared" si="0"/>
        <v>0</v>
      </c>
      <c r="O14" s="477">
        <f t="shared" si="0"/>
        <v>0</v>
      </c>
      <c r="P14" s="476">
        <f t="shared" si="0"/>
        <v>3581.8742945353551</v>
      </c>
      <c r="Q14" s="479" t="s">
        <v>800</v>
      </c>
      <c r="R14" s="462"/>
    </row>
    <row r="15" spans="1:19" x14ac:dyDescent="0.25">
      <c r="A15" s="141" t="s">
        <v>285</v>
      </c>
      <c r="B15" s="172" t="s">
        <v>801</v>
      </c>
      <c r="C15" s="480" t="s">
        <v>645</v>
      </c>
      <c r="D15" s="481">
        <f>'[2]12'!G13</f>
        <v>553.90739999999994</v>
      </c>
      <c r="E15" s="482">
        <f>SUM(F15:N15)</f>
        <v>72.595103843999993</v>
      </c>
      <c r="F15" s="483">
        <f>$D15*F39/100</f>
        <v>0</v>
      </c>
      <c r="G15" s="483">
        <f t="shared" ref="G15:P16" si="1">$D15*G39/100</f>
        <v>0</v>
      </c>
      <c r="H15" s="483">
        <f t="shared" si="1"/>
        <v>0</v>
      </c>
      <c r="I15" s="483">
        <f t="shared" si="1"/>
        <v>0</v>
      </c>
      <c r="J15" s="483">
        <f t="shared" si="1"/>
        <v>0</v>
      </c>
      <c r="K15" s="483">
        <f t="shared" si="1"/>
        <v>0</v>
      </c>
      <c r="L15" s="483">
        <f t="shared" si="1"/>
        <v>0</v>
      </c>
      <c r="M15" s="483">
        <f t="shared" si="1"/>
        <v>72.595103843999993</v>
      </c>
      <c r="N15" s="484">
        <f t="shared" si="1"/>
        <v>0</v>
      </c>
      <c r="O15" s="482">
        <f t="shared" si="1"/>
        <v>0</v>
      </c>
      <c r="P15" s="484">
        <f>$D15*P39/100</f>
        <v>481.312296156</v>
      </c>
      <c r="Q15" s="485"/>
      <c r="R15" s="462"/>
    </row>
    <row r="16" spans="1:19" x14ac:dyDescent="0.25">
      <c r="A16" s="57" t="s">
        <v>295</v>
      </c>
      <c r="B16" s="486" t="s">
        <v>802</v>
      </c>
      <c r="C16" s="480" t="s">
        <v>645</v>
      </c>
      <c r="D16" s="481">
        <f>'[2]12'!G14</f>
        <v>591.9207694117647</v>
      </c>
      <c r="E16" s="482">
        <f>SUM(F16:N16)</f>
        <v>77.577136039105881</v>
      </c>
      <c r="F16" s="483">
        <f>$D16*F40/100</f>
        <v>0</v>
      </c>
      <c r="G16" s="483">
        <f t="shared" si="1"/>
        <v>0</v>
      </c>
      <c r="H16" s="483">
        <f t="shared" si="1"/>
        <v>0</v>
      </c>
      <c r="I16" s="483">
        <f t="shared" si="1"/>
        <v>0</v>
      </c>
      <c r="J16" s="483">
        <f t="shared" si="1"/>
        <v>0</v>
      </c>
      <c r="K16" s="483">
        <f t="shared" si="1"/>
        <v>0</v>
      </c>
      <c r="L16" s="483">
        <f t="shared" si="1"/>
        <v>0</v>
      </c>
      <c r="M16" s="483">
        <f t="shared" si="1"/>
        <v>77.577136039105881</v>
      </c>
      <c r="N16" s="484">
        <f t="shared" si="1"/>
        <v>0</v>
      </c>
      <c r="O16" s="482">
        <f t="shared" si="1"/>
        <v>0</v>
      </c>
      <c r="P16" s="484">
        <f t="shared" si="1"/>
        <v>514.34363337265893</v>
      </c>
      <c r="Q16" s="485"/>
      <c r="R16" s="462"/>
    </row>
    <row r="17" spans="1:18" x14ac:dyDescent="0.25">
      <c r="A17" s="57" t="s">
        <v>297</v>
      </c>
      <c r="B17" s="486" t="s">
        <v>803</v>
      </c>
      <c r="C17" s="480" t="s">
        <v>645</v>
      </c>
      <c r="D17" s="487">
        <f>SUM(D18:D22)</f>
        <v>257.78868941176472</v>
      </c>
      <c r="E17" s="482">
        <f>SUM(E18:E22)</f>
        <v>33.785785634305888</v>
      </c>
      <c r="F17" s="483">
        <f t="shared" ref="F17" si="2">SUM(F18:F22)</f>
        <v>0</v>
      </c>
      <c r="G17" s="483">
        <f>SUM(G18:G22)</f>
        <v>0</v>
      </c>
      <c r="H17" s="483">
        <f t="shared" ref="H17:P17" si="3">SUM(H18:H22)</f>
        <v>0</v>
      </c>
      <c r="I17" s="483">
        <f t="shared" si="3"/>
        <v>0</v>
      </c>
      <c r="J17" s="483">
        <f t="shared" si="3"/>
        <v>0</v>
      </c>
      <c r="K17" s="483">
        <f t="shared" si="3"/>
        <v>0</v>
      </c>
      <c r="L17" s="483">
        <f t="shared" si="3"/>
        <v>0</v>
      </c>
      <c r="M17" s="483">
        <f t="shared" si="3"/>
        <v>33.785785634305888</v>
      </c>
      <c r="N17" s="484">
        <f t="shared" si="3"/>
        <v>0</v>
      </c>
      <c r="O17" s="482">
        <f t="shared" si="3"/>
        <v>0</v>
      </c>
      <c r="P17" s="484">
        <f t="shared" si="3"/>
        <v>224.00290377745887</v>
      </c>
      <c r="Q17" s="485"/>
      <c r="R17" s="462"/>
    </row>
    <row r="18" spans="1:18" x14ac:dyDescent="0.25">
      <c r="A18" s="57" t="s">
        <v>734</v>
      </c>
      <c r="B18" s="486" t="s">
        <v>804</v>
      </c>
      <c r="C18" s="480" t="s">
        <v>645</v>
      </c>
      <c r="D18" s="481">
        <f>'[2]12'!G16</f>
        <v>0</v>
      </c>
      <c r="E18" s="482">
        <f>SUM(F18:N18)</f>
        <v>0</v>
      </c>
      <c r="F18" s="483">
        <f t="shared" ref="F18:P28" si="4">$D18*F41/100</f>
        <v>0</v>
      </c>
      <c r="G18" s="483">
        <f t="shared" si="4"/>
        <v>0</v>
      </c>
      <c r="H18" s="483">
        <f t="shared" si="4"/>
        <v>0</v>
      </c>
      <c r="I18" s="483">
        <f t="shared" si="4"/>
        <v>0</v>
      </c>
      <c r="J18" s="483">
        <f t="shared" si="4"/>
        <v>0</v>
      </c>
      <c r="K18" s="483">
        <f t="shared" si="4"/>
        <v>0</v>
      </c>
      <c r="L18" s="483">
        <f t="shared" si="4"/>
        <v>0</v>
      </c>
      <c r="M18" s="483">
        <f t="shared" si="4"/>
        <v>0</v>
      </c>
      <c r="N18" s="484">
        <f t="shared" si="4"/>
        <v>0</v>
      </c>
      <c r="O18" s="482">
        <f t="shared" si="4"/>
        <v>0</v>
      </c>
      <c r="P18" s="484">
        <f t="shared" si="4"/>
        <v>0</v>
      </c>
      <c r="Q18" s="485"/>
      <c r="R18" s="462"/>
    </row>
    <row r="19" spans="1:18" x14ac:dyDescent="0.25">
      <c r="A19" s="57" t="s">
        <v>736</v>
      </c>
      <c r="B19" s="486" t="s">
        <v>805</v>
      </c>
      <c r="C19" s="480" t="s">
        <v>645</v>
      </c>
      <c r="D19" s="481">
        <f>'[2]12'!G17</f>
        <v>200.92921882352945</v>
      </c>
      <c r="E19" s="482">
        <f>SUM(F19:N19)</f>
        <v>26.33378341901177</v>
      </c>
      <c r="F19" s="483">
        <f t="shared" si="4"/>
        <v>0</v>
      </c>
      <c r="G19" s="483">
        <f t="shared" si="4"/>
        <v>0</v>
      </c>
      <c r="H19" s="483">
        <f t="shared" si="4"/>
        <v>0</v>
      </c>
      <c r="I19" s="483">
        <f t="shared" si="4"/>
        <v>0</v>
      </c>
      <c r="J19" s="483">
        <f t="shared" si="4"/>
        <v>0</v>
      </c>
      <c r="K19" s="483">
        <f t="shared" si="4"/>
        <v>0</v>
      </c>
      <c r="L19" s="483">
        <f t="shared" si="4"/>
        <v>0</v>
      </c>
      <c r="M19" s="483">
        <f t="shared" si="4"/>
        <v>26.33378341901177</v>
      </c>
      <c r="N19" s="484">
        <f t="shared" si="4"/>
        <v>0</v>
      </c>
      <c r="O19" s="482">
        <f t="shared" si="4"/>
        <v>0</v>
      </c>
      <c r="P19" s="484">
        <f t="shared" si="4"/>
        <v>174.5954354045177</v>
      </c>
      <c r="Q19" s="485"/>
      <c r="R19" s="462"/>
    </row>
    <row r="20" spans="1:18" x14ac:dyDescent="0.25">
      <c r="A20" s="57" t="s">
        <v>738</v>
      </c>
      <c r="B20" s="486" t="s">
        <v>806</v>
      </c>
      <c r="C20" s="480" t="s">
        <v>645</v>
      </c>
      <c r="D20" s="481">
        <f>'[2]12'!G18</f>
        <v>56.859470588235297</v>
      </c>
      <c r="E20" s="482">
        <f t="shared" ref="E20:E37" si="5">SUM(F20:N20)</f>
        <v>7.4520022152941179</v>
      </c>
      <c r="F20" s="483">
        <f t="shared" si="4"/>
        <v>0</v>
      </c>
      <c r="G20" s="483">
        <f t="shared" si="4"/>
        <v>0</v>
      </c>
      <c r="H20" s="483">
        <f t="shared" si="4"/>
        <v>0</v>
      </c>
      <c r="I20" s="483">
        <f t="shared" si="4"/>
        <v>0</v>
      </c>
      <c r="J20" s="483">
        <f t="shared" si="4"/>
        <v>0</v>
      </c>
      <c r="K20" s="483">
        <f t="shared" si="4"/>
        <v>0</v>
      </c>
      <c r="L20" s="483">
        <f t="shared" si="4"/>
        <v>0</v>
      </c>
      <c r="M20" s="483">
        <f t="shared" si="4"/>
        <v>7.4520022152941179</v>
      </c>
      <c r="N20" s="484">
        <f t="shared" si="4"/>
        <v>0</v>
      </c>
      <c r="O20" s="482">
        <f t="shared" si="4"/>
        <v>0</v>
      </c>
      <c r="P20" s="484">
        <f t="shared" si="4"/>
        <v>49.407468372941182</v>
      </c>
      <c r="Q20" s="485"/>
      <c r="R20" s="462"/>
    </row>
    <row r="21" spans="1:18" x14ac:dyDescent="0.25">
      <c r="A21" s="57" t="s">
        <v>807</v>
      </c>
      <c r="B21" s="486" t="s">
        <v>808</v>
      </c>
      <c r="C21" s="480" t="s">
        <v>645</v>
      </c>
      <c r="D21" s="481">
        <f>'[2]12'!G19</f>
        <v>0</v>
      </c>
      <c r="E21" s="482">
        <f t="shared" si="5"/>
        <v>0</v>
      </c>
      <c r="F21" s="483">
        <f t="shared" si="4"/>
        <v>0</v>
      </c>
      <c r="G21" s="483">
        <f t="shared" si="4"/>
        <v>0</v>
      </c>
      <c r="H21" s="483">
        <f t="shared" si="4"/>
        <v>0</v>
      </c>
      <c r="I21" s="483">
        <f t="shared" si="4"/>
        <v>0</v>
      </c>
      <c r="J21" s="483">
        <f t="shared" si="4"/>
        <v>0</v>
      </c>
      <c r="K21" s="483">
        <f t="shared" si="4"/>
        <v>0</v>
      </c>
      <c r="L21" s="483">
        <f t="shared" si="4"/>
        <v>0</v>
      </c>
      <c r="M21" s="483">
        <f t="shared" si="4"/>
        <v>0</v>
      </c>
      <c r="N21" s="484">
        <f t="shared" si="4"/>
        <v>0</v>
      </c>
      <c r="O21" s="482">
        <f t="shared" si="4"/>
        <v>0</v>
      </c>
      <c r="P21" s="484">
        <f t="shared" si="4"/>
        <v>0</v>
      </c>
      <c r="Q21" s="485"/>
      <c r="R21" s="462"/>
    </row>
    <row r="22" spans="1:18" x14ac:dyDescent="0.25">
      <c r="A22" s="57" t="s">
        <v>809</v>
      </c>
      <c r="B22" s="486" t="s">
        <v>810</v>
      </c>
      <c r="C22" s="480" t="s">
        <v>645</v>
      </c>
      <c r="D22" s="481">
        <f>'[2]12'!G24</f>
        <v>0</v>
      </c>
      <c r="E22" s="482">
        <f t="shared" si="5"/>
        <v>0</v>
      </c>
      <c r="F22" s="483">
        <f t="shared" si="4"/>
        <v>0</v>
      </c>
      <c r="G22" s="483">
        <f t="shared" si="4"/>
        <v>0</v>
      </c>
      <c r="H22" s="483">
        <f t="shared" si="4"/>
        <v>0</v>
      </c>
      <c r="I22" s="483">
        <f t="shared" si="4"/>
        <v>0</v>
      </c>
      <c r="J22" s="483">
        <f t="shared" si="4"/>
        <v>0</v>
      </c>
      <c r="K22" s="483">
        <f t="shared" si="4"/>
        <v>0</v>
      </c>
      <c r="L22" s="483">
        <f t="shared" si="4"/>
        <v>0</v>
      </c>
      <c r="M22" s="483">
        <f t="shared" si="4"/>
        <v>0</v>
      </c>
      <c r="N22" s="484">
        <f t="shared" si="4"/>
        <v>0</v>
      </c>
      <c r="O22" s="482">
        <f t="shared" si="4"/>
        <v>0</v>
      </c>
      <c r="P22" s="484">
        <f t="shared" si="4"/>
        <v>0</v>
      </c>
      <c r="Q22" s="485"/>
      <c r="R22" s="462"/>
    </row>
    <row r="23" spans="1:18" x14ac:dyDescent="0.25">
      <c r="A23" s="57" t="s">
        <v>16</v>
      </c>
      <c r="B23" s="486" t="s">
        <v>811</v>
      </c>
      <c r="C23" s="480" t="s">
        <v>645</v>
      </c>
      <c r="D23" s="488">
        <f>'[2]12'!G32</f>
        <v>18.256504333333336</v>
      </c>
      <c r="E23" s="482">
        <f t="shared" si="5"/>
        <v>2.3926974579266669</v>
      </c>
      <c r="F23" s="483">
        <f t="shared" si="4"/>
        <v>0</v>
      </c>
      <c r="G23" s="483">
        <f t="shared" si="4"/>
        <v>0</v>
      </c>
      <c r="H23" s="483">
        <f t="shared" si="4"/>
        <v>0</v>
      </c>
      <c r="I23" s="483">
        <f t="shared" si="4"/>
        <v>0</v>
      </c>
      <c r="J23" s="483">
        <f t="shared" si="4"/>
        <v>0</v>
      </c>
      <c r="K23" s="483">
        <f t="shared" si="4"/>
        <v>0</v>
      </c>
      <c r="L23" s="483">
        <f t="shared" si="4"/>
        <v>0</v>
      </c>
      <c r="M23" s="483">
        <f t="shared" si="4"/>
        <v>2.3926974579266669</v>
      </c>
      <c r="N23" s="484">
        <f t="shared" si="4"/>
        <v>0</v>
      </c>
      <c r="O23" s="482">
        <f t="shared" si="4"/>
        <v>0</v>
      </c>
      <c r="P23" s="484">
        <f t="shared" si="4"/>
        <v>15.86380687540667</v>
      </c>
      <c r="Q23" s="485"/>
      <c r="R23" s="462"/>
    </row>
    <row r="24" spans="1:18" x14ac:dyDescent="0.25">
      <c r="A24" s="57" t="s">
        <v>18</v>
      </c>
      <c r="B24" s="486" t="s">
        <v>812</v>
      </c>
      <c r="C24" s="480" t="s">
        <v>645</v>
      </c>
      <c r="D24" s="488">
        <f>'[2]12'!G34</f>
        <v>187.19699529411764</v>
      </c>
      <c r="E24" s="482">
        <f t="shared" si="5"/>
        <v>24.534038203247061</v>
      </c>
      <c r="F24" s="483">
        <f t="shared" si="4"/>
        <v>0</v>
      </c>
      <c r="G24" s="483">
        <f t="shared" si="4"/>
        <v>0</v>
      </c>
      <c r="H24" s="483">
        <f t="shared" si="4"/>
        <v>0</v>
      </c>
      <c r="I24" s="483">
        <f t="shared" si="4"/>
        <v>0</v>
      </c>
      <c r="J24" s="483">
        <f t="shared" si="4"/>
        <v>0</v>
      </c>
      <c r="K24" s="483">
        <f t="shared" si="4"/>
        <v>0</v>
      </c>
      <c r="L24" s="483">
        <f t="shared" si="4"/>
        <v>0</v>
      </c>
      <c r="M24" s="483">
        <f t="shared" si="4"/>
        <v>24.534038203247061</v>
      </c>
      <c r="N24" s="484">
        <f t="shared" si="4"/>
        <v>0</v>
      </c>
      <c r="O24" s="482">
        <f t="shared" si="4"/>
        <v>0</v>
      </c>
      <c r="P24" s="484">
        <f t="shared" si="4"/>
        <v>162.66295709087058</v>
      </c>
      <c r="Q24" s="485"/>
      <c r="R24" s="462"/>
    </row>
    <row r="25" spans="1:18" x14ac:dyDescent="0.25">
      <c r="A25" s="57" t="s">
        <v>20</v>
      </c>
      <c r="B25" s="172" t="s">
        <v>813</v>
      </c>
      <c r="C25" s="480" t="s">
        <v>645</v>
      </c>
      <c r="D25" s="488">
        <f>'[2]12'!G30</f>
        <v>15.921934</v>
      </c>
      <c r="E25" s="482">
        <f t="shared" si="5"/>
        <v>2.0867286700400003</v>
      </c>
      <c r="F25" s="483">
        <f t="shared" si="4"/>
        <v>0</v>
      </c>
      <c r="G25" s="483">
        <f t="shared" si="4"/>
        <v>0</v>
      </c>
      <c r="H25" s="483">
        <f t="shared" si="4"/>
        <v>0</v>
      </c>
      <c r="I25" s="483">
        <f t="shared" si="4"/>
        <v>0</v>
      </c>
      <c r="J25" s="483">
        <f t="shared" si="4"/>
        <v>0</v>
      </c>
      <c r="K25" s="483">
        <f t="shared" si="4"/>
        <v>0</v>
      </c>
      <c r="L25" s="483">
        <f t="shared" si="4"/>
        <v>0</v>
      </c>
      <c r="M25" s="483">
        <f t="shared" si="4"/>
        <v>2.0867286700400003</v>
      </c>
      <c r="N25" s="484">
        <f t="shared" si="4"/>
        <v>0</v>
      </c>
      <c r="O25" s="482">
        <f t="shared" si="4"/>
        <v>0</v>
      </c>
      <c r="P25" s="484">
        <f t="shared" si="4"/>
        <v>13.835205329960001</v>
      </c>
      <c r="Q25" s="485"/>
      <c r="R25" s="462"/>
    </row>
    <row r="26" spans="1:18" x14ac:dyDescent="0.25">
      <c r="A26" s="57" t="s">
        <v>747</v>
      </c>
      <c r="B26" s="486" t="s">
        <v>814</v>
      </c>
      <c r="C26" s="480" t="s">
        <v>645</v>
      </c>
      <c r="D26" s="481">
        <f>'[2]12'!G27</f>
        <v>1975.9769800000004</v>
      </c>
      <c r="E26" s="482">
        <f t="shared" si="5"/>
        <v>258.97154299880003</v>
      </c>
      <c r="F26" s="483">
        <f t="shared" si="4"/>
        <v>0</v>
      </c>
      <c r="G26" s="483">
        <f t="shared" si="4"/>
        <v>0</v>
      </c>
      <c r="H26" s="483">
        <f t="shared" si="4"/>
        <v>0</v>
      </c>
      <c r="I26" s="483">
        <f t="shared" si="4"/>
        <v>0</v>
      </c>
      <c r="J26" s="483">
        <f t="shared" si="4"/>
        <v>0</v>
      </c>
      <c r="K26" s="483">
        <f t="shared" si="4"/>
        <v>0</v>
      </c>
      <c r="L26" s="483">
        <f t="shared" si="4"/>
        <v>0</v>
      </c>
      <c r="M26" s="483">
        <f t="shared" si="4"/>
        <v>258.97154299880003</v>
      </c>
      <c r="N26" s="484">
        <f t="shared" si="4"/>
        <v>0</v>
      </c>
      <c r="O26" s="482">
        <f t="shared" si="4"/>
        <v>0</v>
      </c>
      <c r="P26" s="484">
        <f t="shared" si="4"/>
        <v>1717.0054370012003</v>
      </c>
      <c r="Q26" s="485"/>
      <c r="R26" s="462"/>
    </row>
    <row r="27" spans="1:18" x14ac:dyDescent="0.25">
      <c r="A27" s="57" t="s">
        <v>756</v>
      </c>
      <c r="B27" s="277" t="s">
        <v>815</v>
      </c>
      <c r="C27" s="480" t="s">
        <v>645</v>
      </c>
      <c r="D27" s="481">
        <f>'[2]12'!G28</f>
        <v>397.83758604000013</v>
      </c>
      <c r="E27" s="482">
        <f t="shared" si="5"/>
        <v>52.140594026402411</v>
      </c>
      <c r="F27" s="483">
        <f t="shared" si="4"/>
        <v>0</v>
      </c>
      <c r="G27" s="483">
        <f t="shared" si="4"/>
        <v>0</v>
      </c>
      <c r="H27" s="483">
        <f t="shared" si="4"/>
        <v>0</v>
      </c>
      <c r="I27" s="483">
        <f t="shared" si="4"/>
        <v>0</v>
      </c>
      <c r="J27" s="483">
        <f t="shared" si="4"/>
        <v>0</v>
      </c>
      <c r="K27" s="483">
        <f t="shared" si="4"/>
        <v>0</v>
      </c>
      <c r="L27" s="483">
        <f t="shared" si="4"/>
        <v>0</v>
      </c>
      <c r="M27" s="483">
        <f t="shared" si="4"/>
        <v>52.140594026402411</v>
      </c>
      <c r="N27" s="484">
        <f t="shared" si="4"/>
        <v>0</v>
      </c>
      <c r="O27" s="482">
        <f t="shared" si="4"/>
        <v>0</v>
      </c>
      <c r="P27" s="484">
        <f t="shared" si="4"/>
        <v>345.69699201359771</v>
      </c>
      <c r="Q27" s="485"/>
      <c r="R27" s="462"/>
    </row>
    <row r="28" spans="1:18" x14ac:dyDescent="0.25">
      <c r="A28" s="57" t="s">
        <v>770</v>
      </c>
      <c r="B28" s="277" t="s">
        <v>816</v>
      </c>
      <c r="C28" s="480" t="s">
        <v>645</v>
      </c>
      <c r="D28" s="481">
        <f>'[2]12'!G29</f>
        <v>3.9519539600000009</v>
      </c>
      <c r="E28" s="482">
        <f t="shared" si="5"/>
        <v>0.51794308599760008</v>
      </c>
      <c r="F28" s="483">
        <f t="shared" si="4"/>
        <v>0</v>
      </c>
      <c r="G28" s="483">
        <f t="shared" si="4"/>
        <v>0</v>
      </c>
      <c r="H28" s="483">
        <f t="shared" si="4"/>
        <v>0</v>
      </c>
      <c r="I28" s="483">
        <f t="shared" si="4"/>
        <v>0</v>
      </c>
      <c r="J28" s="483">
        <f t="shared" si="4"/>
        <v>0</v>
      </c>
      <c r="K28" s="483">
        <f t="shared" si="4"/>
        <v>0</v>
      </c>
      <c r="L28" s="483">
        <f t="shared" si="4"/>
        <v>0</v>
      </c>
      <c r="M28" s="483">
        <f t="shared" si="4"/>
        <v>0.51794308599760008</v>
      </c>
      <c r="N28" s="484">
        <f t="shared" si="4"/>
        <v>0</v>
      </c>
      <c r="O28" s="482">
        <f t="shared" si="4"/>
        <v>0</v>
      </c>
      <c r="P28" s="484">
        <f t="shared" si="4"/>
        <v>3.4340108740024009</v>
      </c>
      <c r="Q28" s="485"/>
      <c r="R28" s="462"/>
    </row>
    <row r="29" spans="1:18" x14ac:dyDescent="0.25">
      <c r="A29" s="57" t="s">
        <v>772</v>
      </c>
      <c r="B29" s="277" t="s">
        <v>817</v>
      </c>
      <c r="C29" s="480" t="s">
        <v>645</v>
      </c>
      <c r="D29" s="489">
        <f>SUM(D30:D32)</f>
        <v>6.0960000000000001</v>
      </c>
      <c r="E29" s="490">
        <f>SUM(E30:E32)</f>
        <v>0.79894176000000006</v>
      </c>
      <c r="F29" s="309">
        <f t="shared" ref="F29:N29" si="6">SUM(F30:F32)</f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0</v>
      </c>
      <c r="K29" s="309">
        <f t="shared" si="6"/>
        <v>0</v>
      </c>
      <c r="L29" s="309">
        <f t="shared" si="6"/>
        <v>0</v>
      </c>
      <c r="M29" s="309">
        <f t="shared" si="6"/>
        <v>0.79894176000000006</v>
      </c>
      <c r="N29" s="491">
        <f t="shared" si="6"/>
        <v>0</v>
      </c>
      <c r="O29" s="490">
        <f>SUM(O30:O32)</f>
        <v>0</v>
      </c>
      <c r="P29" s="492">
        <f>SUM(P30:P32)</f>
        <v>5.2970582400000001</v>
      </c>
      <c r="Q29" s="485"/>
      <c r="R29" s="462"/>
    </row>
    <row r="30" spans="1:18" x14ac:dyDescent="0.25">
      <c r="A30" s="57" t="s">
        <v>818</v>
      </c>
      <c r="B30" s="277" t="s">
        <v>819</v>
      </c>
      <c r="C30" s="480" t="s">
        <v>645</v>
      </c>
      <c r="D30" s="488">
        <f>'[2]12'!G47</f>
        <v>0</v>
      </c>
      <c r="E30" s="482">
        <f t="shared" si="5"/>
        <v>0</v>
      </c>
      <c r="F30" s="483">
        <f t="shared" ref="F30:P32" si="7">$D30*F52/100</f>
        <v>0</v>
      </c>
      <c r="G30" s="483">
        <f t="shared" si="7"/>
        <v>0</v>
      </c>
      <c r="H30" s="483">
        <f t="shared" si="7"/>
        <v>0</v>
      </c>
      <c r="I30" s="483">
        <f t="shared" si="7"/>
        <v>0</v>
      </c>
      <c r="J30" s="483">
        <f t="shared" si="7"/>
        <v>0</v>
      </c>
      <c r="K30" s="483">
        <f t="shared" si="7"/>
        <v>0</v>
      </c>
      <c r="L30" s="483">
        <f t="shared" si="7"/>
        <v>0</v>
      </c>
      <c r="M30" s="483">
        <f t="shared" si="7"/>
        <v>0</v>
      </c>
      <c r="N30" s="484">
        <f t="shared" si="7"/>
        <v>0</v>
      </c>
      <c r="O30" s="482">
        <f t="shared" si="7"/>
        <v>0</v>
      </c>
      <c r="P30" s="484">
        <f t="shared" si="7"/>
        <v>0</v>
      </c>
      <c r="Q30" s="485"/>
      <c r="R30" s="462"/>
    </row>
    <row r="31" spans="1:18" x14ac:dyDescent="0.25">
      <c r="A31" s="57" t="s">
        <v>820</v>
      </c>
      <c r="B31" s="277" t="s">
        <v>821</v>
      </c>
      <c r="C31" s="480" t="s">
        <v>645</v>
      </c>
      <c r="D31" s="488">
        <f>'[2]12'!G48</f>
        <v>0</v>
      </c>
      <c r="E31" s="482">
        <f t="shared" si="5"/>
        <v>0</v>
      </c>
      <c r="F31" s="483">
        <f t="shared" si="7"/>
        <v>0</v>
      </c>
      <c r="G31" s="483">
        <f t="shared" si="7"/>
        <v>0</v>
      </c>
      <c r="H31" s="483">
        <f t="shared" si="7"/>
        <v>0</v>
      </c>
      <c r="I31" s="483">
        <f t="shared" si="7"/>
        <v>0</v>
      </c>
      <c r="J31" s="483">
        <f t="shared" si="7"/>
        <v>0</v>
      </c>
      <c r="K31" s="483">
        <f t="shared" si="7"/>
        <v>0</v>
      </c>
      <c r="L31" s="483">
        <f t="shared" si="7"/>
        <v>0</v>
      </c>
      <c r="M31" s="483">
        <f t="shared" si="7"/>
        <v>0</v>
      </c>
      <c r="N31" s="484">
        <f t="shared" si="7"/>
        <v>0</v>
      </c>
      <c r="O31" s="482">
        <f t="shared" si="7"/>
        <v>0</v>
      </c>
      <c r="P31" s="484">
        <f t="shared" si="7"/>
        <v>0</v>
      </c>
      <c r="Q31" s="485"/>
      <c r="R31" s="462"/>
    </row>
    <row r="32" spans="1:18" x14ac:dyDescent="0.25">
      <c r="A32" s="57" t="s">
        <v>822</v>
      </c>
      <c r="B32" s="277" t="s">
        <v>823</v>
      </c>
      <c r="C32" s="480" t="s">
        <v>645</v>
      </c>
      <c r="D32" s="488">
        <f>'[2]12'!G49</f>
        <v>6.0960000000000001</v>
      </c>
      <c r="E32" s="482">
        <f t="shared" si="5"/>
        <v>0.79894176000000006</v>
      </c>
      <c r="F32" s="483">
        <f t="shared" si="7"/>
        <v>0</v>
      </c>
      <c r="G32" s="483">
        <f t="shared" si="7"/>
        <v>0</v>
      </c>
      <c r="H32" s="483">
        <f t="shared" si="7"/>
        <v>0</v>
      </c>
      <c r="I32" s="483">
        <f t="shared" si="7"/>
        <v>0</v>
      </c>
      <c r="J32" s="483">
        <f t="shared" si="7"/>
        <v>0</v>
      </c>
      <c r="K32" s="483">
        <f t="shared" si="7"/>
        <v>0</v>
      </c>
      <c r="L32" s="483">
        <f t="shared" si="7"/>
        <v>0</v>
      </c>
      <c r="M32" s="483">
        <f t="shared" si="7"/>
        <v>0.79894176000000006</v>
      </c>
      <c r="N32" s="484">
        <f t="shared" si="7"/>
        <v>0</v>
      </c>
      <c r="O32" s="482">
        <f t="shared" si="7"/>
        <v>0</v>
      </c>
      <c r="P32" s="484">
        <f t="shared" si="7"/>
        <v>5.2970582400000001</v>
      </c>
      <c r="Q32" s="485"/>
      <c r="R32" s="462"/>
    </row>
    <row r="33" spans="1:18" x14ac:dyDescent="0.25">
      <c r="A33" s="57" t="s">
        <v>824</v>
      </c>
      <c r="B33" s="277" t="s">
        <v>825</v>
      </c>
      <c r="C33" s="480" t="s">
        <v>645</v>
      </c>
      <c r="D33" s="489">
        <f>SUM(D34:D37)</f>
        <v>113.26443</v>
      </c>
      <c r="E33" s="490">
        <f>SUM(E34:E37)</f>
        <v>14.844436195800002</v>
      </c>
      <c r="F33" s="309">
        <f t="shared" ref="F33:P33" si="8">SUM(F34:F37)</f>
        <v>0</v>
      </c>
      <c r="G33" s="309">
        <f>SUM(G34:G37)</f>
        <v>0</v>
      </c>
      <c r="H33" s="309">
        <f t="shared" si="8"/>
        <v>0</v>
      </c>
      <c r="I33" s="309">
        <f t="shared" si="8"/>
        <v>0</v>
      </c>
      <c r="J33" s="309">
        <f t="shared" si="8"/>
        <v>0</v>
      </c>
      <c r="K33" s="309">
        <f t="shared" si="8"/>
        <v>0</v>
      </c>
      <c r="L33" s="309">
        <f t="shared" si="8"/>
        <v>0</v>
      </c>
      <c r="M33" s="309">
        <f t="shared" si="8"/>
        <v>14.844436195800002</v>
      </c>
      <c r="N33" s="491">
        <f t="shared" si="8"/>
        <v>0</v>
      </c>
      <c r="O33" s="490">
        <f t="shared" si="8"/>
        <v>0</v>
      </c>
      <c r="P33" s="491">
        <f t="shared" si="8"/>
        <v>98.419993804200004</v>
      </c>
      <c r="Q33" s="485"/>
      <c r="R33" s="462"/>
    </row>
    <row r="34" spans="1:18" x14ac:dyDescent="0.25">
      <c r="A34" s="57" t="s">
        <v>826</v>
      </c>
      <c r="B34" s="277" t="s">
        <v>827</v>
      </c>
      <c r="C34" s="480" t="s">
        <v>645</v>
      </c>
      <c r="D34" s="488">
        <f>'[2]12'!G41</f>
        <v>0</v>
      </c>
      <c r="E34" s="482">
        <f t="shared" si="5"/>
        <v>0</v>
      </c>
      <c r="F34" s="483">
        <f t="shared" ref="F34:P37" si="9">$D34*F55/100</f>
        <v>0</v>
      </c>
      <c r="G34" s="483">
        <f t="shared" si="9"/>
        <v>0</v>
      </c>
      <c r="H34" s="483">
        <f t="shared" si="9"/>
        <v>0</v>
      </c>
      <c r="I34" s="483">
        <f t="shared" si="9"/>
        <v>0</v>
      </c>
      <c r="J34" s="483">
        <f t="shared" si="9"/>
        <v>0</v>
      </c>
      <c r="K34" s="483">
        <f t="shared" si="9"/>
        <v>0</v>
      </c>
      <c r="L34" s="483">
        <f t="shared" si="9"/>
        <v>0</v>
      </c>
      <c r="M34" s="483">
        <f t="shared" si="9"/>
        <v>0</v>
      </c>
      <c r="N34" s="484">
        <f t="shared" si="9"/>
        <v>0</v>
      </c>
      <c r="O34" s="482">
        <f t="shared" si="9"/>
        <v>0</v>
      </c>
      <c r="P34" s="484">
        <f t="shared" si="9"/>
        <v>0</v>
      </c>
      <c r="Q34" s="485"/>
      <c r="R34" s="462"/>
    </row>
    <row r="35" spans="1:18" x14ac:dyDescent="0.25">
      <c r="A35" s="57" t="s">
        <v>828</v>
      </c>
      <c r="B35" s="277" t="s">
        <v>829</v>
      </c>
      <c r="C35" s="480" t="s">
        <v>645</v>
      </c>
      <c r="D35" s="488">
        <f>'[2]12'!G42</f>
        <v>20.473280000000003</v>
      </c>
      <c r="E35" s="482">
        <f t="shared" si="5"/>
        <v>2.6832280768000003</v>
      </c>
      <c r="F35" s="483">
        <f t="shared" si="9"/>
        <v>0</v>
      </c>
      <c r="G35" s="483">
        <f t="shared" si="9"/>
        <v>0</v>
      </c>
      <c r="H35" s="483">
        <f t="shared" si="9"/>
        <v>0</v>
      </c>
      <c r="I35" s="483">
        <f t="shared" si="9"/>
        <v>0</v>
      </c>
      <c r="J35" s="483">
        <f t="shared" si="9"/>
        <v>0</v>
      </c>
      <c r="K35" s="483">
        <f t="shared" si="9"/>
        <v>0</v>
      </c>
      <c r="L35" s="483">
        <f t="shared" si="9"/>
        <v>0</v>
      </c>
      <c r="M35" s="483">
        <f t="shared" si="9"/>
        <v>2.6832280768000003</v>
      </c>
      <c r="N35" s="484">
        <f t="shared" si="9"/>
        <v>0</v>
      </c>
      <c r="O35" s="482">
        <f t="shared" si="9"/>
        <v>0</v>
      </c>
      <c r="P35" s="484">
        <f t="shared" si="9"/>
        <v>17.790051923200004</v>
      </c>
      <c r="Q35" s="485"/>
      <c r="R35" s="462"/>
    </row>
    <row r="36" spans="1:18" x14ac:dyDescent="0.25">
      <c r="A36" s="57" t="s">
        <v>830</v>
      </c>
      <c r="B36" s="277" t="s">
        <v>831</v>
      </c>
      <c r="C36" s="480" t="s">
        <v>645</v>
      </c>
      <c r="D36" s="488">
        <f>'[2]12'!G43</f>
        <v>0</v>
      </c>
      <c r="E36" s="482">
        <f t="shared" si="5"/>
        <v>0</v>
      </c>
      <c r="F36" s="483">
        <f t="shared" si="9"/>
        <v>0</v>
      </c>
      <c r="G36" s="483">
        <f t="shared" si="9"/>
        <v>0</v>
      </c>
      <c r="H36" s="483">
        <f t="shared" si="9"/>
        <v>0</v>
      </c>
      <c r="I36" s="483">
        <f t="shared" si="9"/>
        <v>0</v>
      </c>
      <c r="J36" s="483">
        <f t="shared" si="9"/>
        <v>0</v>
      </c>
      <c r="K36" s="483">
        <f t="shared" si="9"/>
        <v>0</v>
      </c>
      <c r="L36" s="483">
        <f t="shared" si="9"/>
        <v>0</v>
      </c>
      <c r="M36" s="483">
        <f t="shared" si="9"/>
        <v>0</v>
      </c>
      <c r="N36" s="484">
        <f t="shared" si="9"/>
        <v>0</v>
      </c>
      <c r="O36" s="482">
        <f t="shared" si="9"/>
        <v>0</v>
      </c>
      <c r="P36" s="484">
        <f t="shared" si="9"/>
        <v>0</v>
      </c>
      <c r="Q36" s="485"/>
      <c r="R36" s="462"/>
    </row>
    <row r="37" spans="1:18" x14ac:dyDescent="0.25">
      <c r="A37" s="57" t="s">
        <v>832</v>
      </c>
      <c r="B37" s="493" t="s">
        <v>833</v>
      </c>
      <c r="C37" s="480" t="s">
        <v>645</v>
      </c>
      <c r="D37" s="488">
        <f>'[2]12'!G45</f>
        <v>92.791150000000002</v>
      </c>
      <c r="E37" s="482">
        <f t="shared" si="5"/>
        <v>12.161208119000001</v>
      </c>
      <c r="F37" s="483">
        <f t="shared" si="9"/>
        <v>0</v>
      </c>
      <c r="G37" s="483">
        <f t="shared" si="9"/>
        <v>0</v>
      </c>
      <c r="H37" s="483">
        <f t="shared" si="9"/>
        <v>0</v>
      </c>
      <c r="I37" s="483">
        <f t="shared" si="9"/>
        <v>0</v>
      </c>
      <c r="J37" s="483">
        <f t="shared" si="9"/>
        <v>0</v>
      </c>
      <c r="K37" s="483">
        <f t="shared" si="9"/>
        <v>0</v>
      </c>
      <c r="L37" s="483">
        <f t="shared" si="9"/>
        <v>0</v>
      </c>
      <c r="M37" s="483">
        <f t="shared" si="9"/>
        <v>12.161208119000001</v>
      </c>
      <c r="N37" s="484">
        <f t="shared" si="9"/>
        <v>0</v>
      </c>
      <c r="O37" s="482">
        <f t="shared" si="9"/>
        <v>0</v>
      </c>
      <c r="P37" s="484">
        <f t="shared" si="9"/>
        <v>80.629941881000008</v>
      </c>
      <c r="Q37" s="494"/>
      <c r="R37" s="462"/>
    </row>
    <row r="38" spans="1:18" ht="26.25" thickBot="1" x14ac:dyDescent="0.3">
      <c r="A38" s="212" t="s">
        <v>351</v>
      </c>
      <c r="B38" s="359" t="s">
        <v>834</v>
      </c>
      <c r="C38" s="495" t="s">
        <v>653</v>
      </c>
      <c r="D38" s="496" t="s">
        <v>653</v>
      </c>
      <c r="E38" s="497" t="s">
        <v>653</v>
      </c>
      <c r="F38" s="498" t="s">
        <v>653</v>
      </c>
      <c r="G38" s="498" t="s">
        <v>653</v>
      </c>
      <c r="H38" s="498" t="s">
        <v>653</v>
      </c>
      <c r="I38" s="498" t="s">
        <v>653</v>
      </c>
      <c r="J38" s="498" t="s">
        <v>653</v>
      </c>
      <c r="K38" s="498" t="s">
        <v>653</v>
      </c>
      <c r="L38" s="498" t="s">
        <v>653</v>
      </c>
      <c r="M38" s="498" t="s">
        <v>653</v>
      </c>
      <c r="N38" s="496" t="s">
        <v>653</v>
      </c>
      <c r="O38" s="499" t="s">
        <v>653</v>
      </c>
      <c r="P38" s="500" t="s">
        <v>653</v>
      </c>
      <c r="Q38" s="501"/>
      <c r="R38" s="462"/>
    </row>
    <row r="39" spans="1:18" x14ac:dyDescent="0.25">
      <c r="A39" s="57" t="s">
        <v>300</v>
      </c>
      <c r="B39" s="502" t="s">
        <v>1627</v>
      </c>
      <c r="C39" s="495" t="s">
        <v>835</v>
      </c>
      <c r="D39" s="76">
        <f>SUM(E39,O39,P39)</f>
        <v>100</v>
      </c>
      <c r="E39" s="503">
        <f>SUM(F39:N39)</f>
        <v>13.106</v>
      </c>
      <c r="F39" s="365">
        <v>0</v>
      </c>
      <c r="G39" s="504">
        <v>0</v>
      </c>
      <c r="H39" s="504">
        <v>0</v>
      </c>
      <c r="I39" s="504">
        <v>0</v>
      </c>
      <c r="J39" s="504">
        <v>0</v>
      </c>
      <c r="K39" s="504">
        <v>0</v>
      </c>
      <c r="L39" s="504">
        <v>0</v>
      </c>
      <c r="M39" s="504">
        <v>13.106</v>
      </c>
      <c r="N39" s="505">
        <v>0</v>
      </c>
      <c r="O39" s="506">
        <v>0</v>
      </c>
      <c r="P39" s="507">
        <v>86.894000000000005</v>
      </c>
      <c r="Q39" s="501"/>
      <c r="R39" s="462"/>
    </row>
    <row r="40" spans="1:18" x14ac:dyDescent="0.25">
      <c r="A40" s="57" t="s">
        <v>354</v>
      </c>
      <c r="B40" s="502" t="s">
        <v>1627</v>
      </c>
      <c r="C40" s="495" t="s">
        <v>835</v>
      </c>
      <c r="D40" s="496">
        <f t="shared" ref="D40:D58" si="10">SUM(E40,O40,P40)</f>
        <v>100</v>
      </c>
      <c r="E40" s="508">
        <f t="shared" ref="E40:E58" si="11">SUM(F40:N40)</f>
        <v>13.106</v>
      </c>
      <c r="F40" s="365">
        <v>0</v>
      </c>
      <c r="G40" s="504">
        <v>0</v>
      </c>
      <c r="H40" s="504">
        <v>0</v>
      </c>
      <c r="I40" s="504">
        <v>0</v>
      </c>
      <c r="J40" s="504">
        <v>0</v>
      </c>
      <c r="K40" s="504">
        <v>0</v>
      </c>
      <c r="L40" s="504">
        <v>0</v>
      </c>
      <c r="M40" s="504">
        <v>13.106</v>
      </c>
      <c r="N40" s="505">
        <v>0</v>
      </c>
      <c r="O40" s="509">
        <v>0</v>
      </c>
      <c r="P40" s="505">
        <v>86.894000000000005</v>
      </c>
      <c r="Q40" s="501"/>
      <c r="R40" s="462"/>
    </row>
    <row r="41" spans="1:18" x14ac:dyDescent="0.25">
      <c r="A41" s="57" t="s">
        <v>356</v>
      </c>
      <c r="B41" s="502" t="s">
        <v>1627</v>
      </c>
      <c r="C41" s="495" t="s">
        <v>835</v>
      </c>
      <c r="D41" s="496">
        <f t="shared" si="10"/>
        <v>100</v>
      </c>
      <c r="E41" s="508">
        <f t="shared" si="11"/>
        <v>13.106</v>
      </c>
      <c r="F41" s="365">
        <v>0</v>
      </c>
      <c r="G41" s="504">
        <v>0</v>
      </c>
      <c r="H41" s="504">
        <v>0</v>
      </c>
      <c r="I41" s="504">
        <v>0</v>
      </c>
      <c r="J41" s="504">
        <v>0</v>
      </c>
      <c r="K41" s="504">
        <v>0</v>
      </c>
      <c r="L41" s="504">
        <v>0</v>
      </c>
      <c r="M41" s="504">
        <v>13.106</v>
      </c>
      <c r="N41" s="505">
        <v>0</v>
      </c>
      <c r="O41" s="509">
        <v>0</v>
      </c>
      <c r="P41" s="505">
        <v>86.894000000000005</v>
      </c>
      <c r="Q41" s="501"/>
      <c r="R41" s="462"/>
    </row>
    <row r="42" spans="1:18" x14ac:dyDescent="0.25">
      <c r="A42" s="147" t="s">
        <v>358</v>
      </c>
      <c r="B42" s="502" t="s">
        <v>1627</v>
      </c>
      <c r="C42" s="495" t="s">
        <v>835</v>
      </c>
      <c r="D42" s="496">
        <f t="shared" si="10"/>
        <v>100</v>
      </c>
      <c r="E42" s="508">
        <f t="shared" si="11"/>
        <v>13.106</v>
      </c>
      <c r="F42" s="365">
        <v>0</v>
      </c>
      <c r="G42" s="504">
        <v>0</v>
      </c>
      <c r="H42" s="504">
        <v>0</v>
      </c>
      <c r="I42" s="504">
        <v>0</v>
      </c>
      <c r="J42" s="504">
        <v>0</v>
      </c>
      <c r="K42" s="504">
        <v>0</v>
      </c>
      <c r="L42" s="504">
        <v>0</v>
      </c>
      <c r="M42" s="504">
        <v>13.106</v>
      </c>
      <c r="N42" s="505">
        <v>0</v>
      </c>
      <c r="O42" s="509">
        <v>0</v>
      </c>
      <c r="P42" s="505">
        <v>86.894000000000005</v>
      </c>
      <c r="Q42" s="501"/>
      <c r="R42" s="462"/>
    </row>
    <row r="43" spans="1:18" x14ac:dyDescent="0.25">
      <c r="A43" s="57" t="s">
        <v>360</v>
      </c>
      <c r="B43" s="502" t="s">
        <v>1627</v>
      </c>
      <c r="C43" s="495" t="s">
        <v>835</v>
      </c>
      <c r="D43" s="496">
        <f t="shared" si="10"/>
        <v>100</v>
      </c>
      <c r="E43" s="508">
        <f t="shared" si="11"/>
        <v>13.106</v>
      </c>
      <c r="F43" s="365">
        <v>0</v>
      </c>
      <c r="G43" s="504">
        <v>0</v>
      </c>
      <c r="H43" s="504">
        <v>0</v>
      </c>
      <c r="I43" s="504">
        <v>0</v>
      </c>
      <c r="J43" s="504">
        <v>0</v>
      </c>
      <c r="K43" s="504">
        <v>0</v>
      </c>
      <c r="L43" s="504">
        <v>0</v>
      </c>
      <c r="M43" s="504">
        <v>13.106</v>
      </c>
      <c r="N43" s="505">
        <v>0</v>
      </c>
      <c r="O43" s="509">
        <v>0</v>
      </c>
      <c r="P43" s="505">
        <v>86.894000000000005</v>
      </c>
      <c r="Q43" s="501"/>
      <c r="R43" s="462"/>
    </row>
    <row r="44" spans="1:18" x14ac:dyDescent="0.25">
      <c r="A44" s="57" t="s">
        <v>836</v>
      </c>
      <c r="B44" s="502" t="s">
        <v>1627</v>
      </c>
      <c r="C44" s="495" t="s">
        <v>835</v>
      </c>
      <c r="D44" s="496">
        <f t="shared" si="10"/>
        <v>100</v>
      </c>
      <c r="E44" s="508">
        <f t="shared" si="11"/>
        <v>13.106</v>
      </c>
      <c r="F44" s="365">
        <v>0</v>
      </c>
      <c r="G44" s="504">
        <v>0</v>
      </c>
      <c r="H44" s="504">
        <v>0</v>
      </c>
      <c r="I44" s="504">
        <v>0</v>
      </c>
      <c r="J44" s="504">
        <v>0</v>
      </c>
      <c r="K44" s="504">
        <v>0</v>
      </c>
      <c r="L44" s="504">
        <v>0</v>
      </c>
      <c r="M44" s="504">
        <v>13.106</v>
      </c>
      <c r="N44" s="505">
        <v>0</v>
      </c>
      <c r="O44" s="509">
        <v>0</v>
      </c>
      <c r="P44" s="505">
        <v>86.894000000000005</v>
      </c>
      <c r="Q44" s="501"/>
      <c r="R44" s="462"/>
    </row>
    <row r="45" spans="1:18" x14ac:dyDescent="0.25">
      <c r="A45" s="57" t="s">
        <v>837</v>
      </c>
      <c r="B45" s="502" t="s">
        <v>1627</v>
      </c>
      <c r="C45" s="495" t="s">
        <v>835</v>
      </c>
      <c r="D45" s="496">
        <f t="shared" si="10"/>
        <v>100</v>
      </c>
      <c r="E45" s="508">
        <f t="shared" si="11"/>
        <v>13.106</v>
      </c>
      <c r="F45" s="365">
        <v>0</v>
      </c>
      <c r="G45" s="504">
        <v>0</v>
      </c>
      <c r="H45" s="504">
        <v>0</v>
      </c>
      <c r="I45" s="504">
        <v>0</v>
      </c>
      <c r="J45" s="504">
        <v>0</v>
      </c>
      <c r="K45" s="504">
        <v>0</v>
      </c>
      <c r="L45" s="504">
        <v>0</v>
      </c>
      <c r="M45" s="504">
        <v>13.106</v>
      </c>
      <c r="N45" s="505">
        <v>0</v>
      </c>
      <c r="O45" s="509">
        <v>0</v>
      </c>
      <c r="P45" s="505">
        <v>86.894000000000005</v>
      </c>
      <c r="Q45" s="501"/>
      <c r="R45" s="462"/>
    </row>
    <row r="46" spans="1:18" x14ac:dyDescent="0.25">
      <c r="A46" s="147" t="s">
        <v>838</v>
      </c>
      <c r="B46" s="502" t="s">
        <v>1627</v>
      </c>
      <c r="C46" s="495" t="s">
        <v>835</v>
      </c>
      <c r="D46" s="496">
        <f t="shared" si="10"/>
        <v>100</v>
      </c>
      <c r="E46" s="508">
        <f t="shared" si="11"/>
        <v>13.106</v>
      </c>
      <c r="F46" s="365">
        <v>0</v>
      </c>
      <c r="G46" s="504">
        <v>0</v>
      </c>
      <c r="H46" s="504">
        <v>0</v>
      </c>
      <c r="I46" s="504">
        <v>0</v>
      </c>
      <c r="J46" s="504">
        <v>0</v>
      </c>
      <c r="K46" s="504">
        <v>0</v>
      </c>
      <c r="L46" s="504">
        <v>0</v>
      </c>
      <c r="M46" s="504">
        <v>13.106</v>
      </c>
      <c r="N46" s="505">
        <v>0</v>
      </c>
      <c r="O46" s="509">
        <v>0</v>
      </c>
      <c r="P46" s="505">
        <v>86.894000000000005</v>
      </c>
      <c r="Q46" s="501"/>
      <c r="R46" s="462"/>
    </row>
    <row r="47" spans="1:18" x14ac:dyDescent="0.25">
      <c r="A47" s="147" t="s">
        <v>839</v>
      </c>
      <c r="B47" s="502" t="s">
        <v>1627</v>
      </c>
      <c r="C47" s="495" t="s">
        <v>835</v>
      </c>
      <c r="D47" s="496">
        <f t="shared" si="10"/>
        <v>100</v>
      </c>
      <c r="E47" s="508">
        <f t="shared" si="11"/>
        <v>13.106</v>
      </c>
      <c r="F47" s="365">
        <v>0</v>
      </c>
      <c r="G47" s="504">
        <v>0</v>
      </c>
      <c r="H47" s="504">
        <v>0</v>
      </c>
      <c r="I47" s="504">
        <v>0</v>
      </c>
      <c r="J47" s="504">
        <v>0</v>
      </c>
      <c r="K47" s="504">
        <v>0</v>
      </c>
      <c r="L47" s="504">
        <v>0</v>
      </c>
      <c r="M47" s="504">
        <v>13.106</v>
      </c>
      <c r="N47" s="505">
        <v>0</v>
      </c>
      <c r="O47" s="509">
        <v>0</v>
      </c>
      <c r="P47" s="505">
        <v>86.894000000000005</v>
      </c>
      <c r="Q47" s="501"/>
      <c r="R47" s="462"/>
    </row>
    <row r="48" spans="1:18" x14ac:dyDescent="0.25">
      <c r="A48" s="57" t="s">
        <v>840</v>
      </c>
      <c r="B48" s="502" t="s">
        <v>1627</v>
      </c>
      <c r="C48" s="495" t="s">
        <v>835</v>
      </c>
      <c r="D48" s="496">
        <f t="shared" si="10"/>
        <v>100</v>
      </c>
      <c r="E48" s="508">
        <f t="shared" si="11"/>
        <v>13.106</v>
      </c>
      <c r="F48" s="365">
        <v>0</v>
      </c>
      <c r="G48" s="504">
        <v>0</v>
      </c>
      <c r="H48" s="504">
        <v>0</v>
      </c>
      <c r="I48" s="504">
        <v>0</v>
      </c>
      <c r="J48" s="504">
        <v>0</v>
      </c>
      <c r="K48" s="504">
        <v>0</v>
      </c>
      <c r="L48" s="504">
        <v>0</v>
      </c>
      <c r="M48" s="504">
        <v>13.106</v>
      </c>
      <c r="N48" s="505">
        <v>0</v>
      </c>
      <c r="O48" s="509">
        <v>0</v>
      </c>
      <c r="P48" s="505">
        <v>86.894000000000005</v>
      </c>
      <c r="Q48" s="501"/>
      <c r="R48" s="462"/>
    </row>
    <row r="49" spans="1:18" x14ac:dyDescent="0.25">
      <c r="A49" s="57" t="s">
        <v>841</v>
      </c>
      <c r="B49" s="502" t="s">
        <v>1627</v>
      </c>
      <c r="C49" s="495" t="s">
        <v>835</v>
      </c>
      <c r="D49" s="496">
        <f t="shared" si="10"/>
        <v>100</v>
      </c>
      <c r="E49" s="508">
        <f t="shared" si="11"/>
        <v>13.106</v>
      </c>
      <c r="F49" s="365">
        <v>0</v>
      </c>
      <c r="G49" s="504">
        <v>0</v>
      </c>
      <c r="H49" s="504">
        <v>0</v>
      </c>
      <c r="I49" s="504">
        <v>0</v>
      </c>
      <c r="J49" s="504">
        <v>0</v>
      </c>
      <c r="K49" s="504">
        <v>0</v>
      </c>
      <c r="L49" s="504">
        <v>0</v>
      </c>
      <c r="M49" s="504">
        <v>13.106</v>
      </c>
      <c r="N49" s="505">
        <v>0</v>
      </c>
      <c r="O49" s="509">
        <v>0</v>
      </c>
      <c r="P49" s="505">
        <v>86.894000000000005</v>
      </c>
      <c r="Q49" s="501"/>
      <c r="R49" s="462"/>
    </row>
    <row r="50" spans="1:18" x14ac:dyDescent="0.25">
      <c r="A50" s="57" t="s">
        <v>842</v>
      </c>
      <c r="B50" s="502" t="s">
        <v>1627</v>
      </c>
      <c r="C50" s="495" t="s">
        <v>835</v>
      </c>
      <c r="D50" s="496">
        <f t="shared" si="10"/>
        <v>100</v>
      </c>
      <c r="E50" s="508">
        <f t="shared" si="11"/>
        <v>13.106</v>
      </c>
      <c r="F50" s="365">
        <v>0</v>
      </c>
      <c r="G50" s="504">
        <v>0</v>
      </c>
      <c r="H50" s="504">
        <v>0</v>
      </c>
      <c r="I50" s="504">
        <v>0</v>
      </c>
      <c r="J50" s="504">
        <v>0</v>
      </c>
      <c r="K50" s="504">
        <v>0</v>
      </c>
      <c r="L50" s="504">
        <v>0</v>
      </c>
      <c r="M50" s="504">
        <v>13.106</v>
      </c>
      <c r="N50" s="505">
        <v>0</v>
      </c>
      <c r="O50" s="509">
        <v>0</v>
      </c>
      <c r="P50" s="505">
        <v>86.894000000000005</v>
      </c>
      <c r="Q50" s="501"/>
      <c r="R50" s="462"/>
    </row>
    <row r="51" spans="1:18" x14ac:dyDescent="0.25">
      <c r="A51" s="147" t="s">
        <v>843</v>
      </c>
      <c r="B51" s="502" t="s">
        <v>1627</v>
      </c>
      <c r="C51" s="495" t="s">
        <v>835</v>
      </c>
      <c r="D51" s="496">
        <f t="shared" si="10"/>
        <v>100</v>
      </c>
      <c r="E51" s="508">
        <f t="shared" si="11"/>
        <v>13.106</v>
      </c>
      <c r="F51" s="365">
        <v>0</v>
      </c>
      <c r="G51" s="504">
        <v>0</v>
      </c>
      <c r="H51" s="504">
        <v>0</v>
      </c>
      <c r="I51" s="504">
        <v>0</v>
      </c>
      <c r="J51" s="504">
        <v>0</v>
      </c>
      <c r="K51" s="504">
        <v>0</v>
      </c>
      <c r="L51" s="504">
        <v>0</v>
      </c>
      <c r="M51" s="504">
        <v>13.106</v>
      </c>
      <c r="N51" s="505">
        <v>0</v>
      </c>
      <c r="O51" s="509">
        <v>0</v>
      </c>
      <c r="P51" s="505">
        <v>86.894000000000005</v>
      </c>
      <c r="Q51" s="510"/>
      <c r="R51" s="462"/>
    </row>
    <row r="52" spans="1:18" x14ac:dyDescent="0.25">
      <c r="A52" s="147" t="s">
        <v>844</v>
      </c>
      <c r="B52" s="511" t="s">
        <v>1627</v>
      </c>
      <c r="C52" s="495" t="s">
        <v>835</v>
      </c>
      <c r="D52" s="496">
        <f t="shared" si="10"/>
        <v>100</v>
      </c>
      <c r="E52" s="508">
        <f t="shared" si="11"/>
        <v>13.106</v>
      </c>
      <c r="F52" s="365">
        <v>0</v>
      </c>
      <c r="G52" s="504">
        <v>0</v>
      </c>
      <c r="H52" s="504">
        <v>0</v>
      </c>
      <c r="I52" s="504">
        <v>0</v>
      </c>
      <c r="J52" s="504">
        <v>0</v>
      </c>
      <c r="K52" s="504">
        <v>0</v>
      </c>
      <c r="L52" s="504">
        <v>0</v>
      </c>
      <c r="M52" s="504">
        <v>13.106</v>
      </c>
      <c r="N52" s="505">
        <v>0</v>
      </c>
      <c r="O52" s="509">
        <v>0</v>
      </c>
      <c r="P52" s="505">
        <v>86.894000000000005</v>
      </c>
      <c r="Q52" s="510"/>
      <c r="R52" s="462"/>
    </row>
    <row r="53" spans="1:18" x14ac:dyDescent="0.25">
      <c r="A53" s="57" t="s">
        <v>845</v>
      </c>
      <c r="B53" s="511" t="s">
        <v>1627</v>
      </c>
      <c r="C53" s="495" t="s">
        <v>835</v>
      </c>
      <c r="D53" s="496">
        <f t="shared" si="10"/>
        <v>100</v>
      </c>
      <c r="E53" s="508">
        <f t="shared" si="11"/>
        <v>13.106</v>
      </c>
      <c r="F53" s="365">
        <v>0</v>
      </c>
      <c r="G53" s="504">
        <v>0</v>
      </c>
      <c r="H53" s="504">
        <v>0</v>
      </c>
      <c r="I53" s="504">
        <v>0</v>
      </c>
      <c r="J53" s="504">
        <v>0</v>
      </c>
      <c r="K53" s="504">
        <v>0</v>
      </c>
      <c r="L53" s="504">
        <v>0</v>
      </c>
      <c r="M53" s="504">
        <v>13.106</v>
      </c>
      <c r="N53" s="505">
        <v>0</v>
      </c>
      <c r="O53" s="509">
        <v>0</v>
      </c>
      <c r="P53" s="505">
        <v>86.894000000000005</v>
      </c>
      <c r="Q53" s="485"/>
      <c r="R53" s="462"/>
    </row>
    <row r="54" spans="1:18" x14ac:dyDescent="0.25">
      <c r="A54" s="57" t="s">
        <v>846</v>
      </c>
      <c r="B54" s="511" t="s">
        <v>1627</v>
      </c>
      <c r="C54" s="495" t="s">
        <v>835</v>
      </c>
      <c r="D54" s="496">
        <f t="shared" si="10"/>
        <v>100</v>
      </c>
      <c r="E54" s="508">
        <f t="shared" si="11"/>
        <v>13.106</v>
      </c>
      <c r="F54" s="365">
        <v>0</v>
      </c>
      <c r="G54" s="504">
        <v>0</v>
      </c>
      <c r="H54" s="504">
        <v>0</v>
      </c>
      <c r="I54" s="504">
        <v>0</v>
      </c>
      <c r="J54" s="504">
        <v>0</v>
      </c>
      <c r="K54" s="504">
        <v>0</v>
      </c>
      <c r="L54" s="504">
        <v>0</v>
      </c>
      <c r="M54" s="504">
        <v>13.106</v>
      </c>
      <c r="N54" s="505">
        <v>0</v>
      </c>
      <c r="O54" s="509">
        <v>0</v>
      </c>
      <c r="P54" s="505">
        <v>86.894000000000005</v>
      </c>
      <c r="Q54" s="485"/>
      <c r="R54" s="462"/>
    </row>
    <row r="55" spans="1:18" x14ac:dyDescent="0.25">
      <c r="A55" s="57" t="s">
        <v>847</v>
      </c>
      <c r="B55" s="511" t="s">
        <v>1627</v>
      </c>
      <c r="C55" s="495" t="s">
        <v>835</v>
      </c>
      <c r="D55" s="496">
        <f t="shared" si="10"/>
        <v>100</v>
      </c>
      <c r="E55" s="508">
        <f t="shared" si="11"/>
        <v>13.106</v>
      </c>
      <c r="F55" s="512">
        <v>0</v>
      </c>
      <c r="G55" s="513">
        <v>0</v>
      </c>
      <c r="H55" s="513">
        <v>0</v>
      </c>
      <c r="I55" s="513">
        <v>0</v>
      </c>
      <c r="J55" s="513">
        <v>0</v>
      </c>
      <c r="K55" s="513">
        <v>0</v>
      </c>
      <c r="L55" s="513">
        <v>0</v>
      </c>
      <c r="M55" s="513">
        <v>13.106</v>
      </c>
      <c r="N55" s="514">
        <v>0</v>
      </c>
      <c r="O55" s="515">
        <v>0</v>
      </c>
      <c r="P55" s="514">
        <v>86.894000000000005</v>
      </c>
      <c r="Q55" s="485"/>
      <c r="R55" s="462"/>
    </row>
    <row r="56" spans="1:18" x14ac:dyDescent="0.25">
      <c r="A56" s="57" t="s">
        <v>848</v>
      </c>
      <c r="B56" s="511" t="s">
        <v>1627</v>
      </c>
      <c r="C56" s="495" t="s">
        <v>835</v>
      </c>
      <c r="D56" s="496">
        <f t="shared" si="10"/>
        <v>100</v>
      </c>
      <c r="E56" s="508">
        <f t="shared" si="11"/>
        <v>13.106</v>
      </c>
      <c r="F56" s="365">
        <v>0</v>
      </c>
      <c r="G56" s="504">
        <v>0</v>
      </c>
      <c r="H56" s="504">
        <v>0</v>
      </c>
      <c r="I56" s="504">
        <v>0</v>
      </c>
      <c r="J56" s="504">
        <v>0</v>
      </c>
      <c r="K56" s="504">
        <v>0</v>
      </c>
      <c r="L56" s="504">
        <v>0</v>
      </c>
      <c r="M56" s="504">
        <v>13.106</v>
      </c>
      <c r="N56" s="505">
        <v>0</v>
      </c>
      <c r="O56" s="509">
        <v>0</v>
      </c>
      <c r="P56" s="505">
        <v>86.894000000000005</v>
      </c>
      <c r="Q56" s="485"/>
      <c r="R56" s="462"/>
    </row>
    <row r="57" spans="1:18" x14ac:dyDescent="0.25">
      <c r="A57" s="57" t="s">
        <v>849</v>
      </c>
      <c r="B57" s="511" t="s">
        <v>1627</v>
      </c>
      <c r="C57" s="495" t="s">
        <v>835</v>
      </c>
      <c r="D57" s="496">
        <f t="shared" si="10"/>
        <v>100</v>
      </c>
      <c r="E57" s="508">
        <f t="shared" si="11"/>
        <v>13.106</v>
      </c>
      <c r="F57" s="365">
        <v>0</v>
      </c>
      <c r="G57" s="504">
        <v>0</v>
      </c>
      <c r="H57" s="504">
        <v>0</v>
      </c>
      <c r="I57" s="504">
        <v>0</v>
      </c>
      <c r="J57" s="504">
        <v>0</v>
      </c>
      <c r="K57" s="504">
        <v>0</v>
      </c>
      <c r="L57" s="504">
        <v>0</v>
      </c>
      <c r="M57" s="504">
        <v>13.106</v>
      </c>
      <c r="N57" s="505">
        <v>0</v>
      </c>
      <c r="O57" s="509">
        <v>0</v>
      </c>
      <c r="P57" s="505">
        <v>86.894000000000005</v>
      </c>
      <c r="Q57" s="485"/>
      <c r="R57" s="462"/>
    </row>
    <row r="58" spans="1:18" ht="15.75" thickBot="1" x14ac:dyDescent="0.3">
      <c r="A58" s="104" t="s">
        <v>850</v>
      </c>
      <c r="B58" s="516" t="s">
        <v>1627</v>
      </c>
      <c r="C58" s="454" t="s">
        <v>835</v>
      </c>
      <c r="D58" s="500">
        <f t="shared" si="10"/>
        <v>100</v>
      </c>
      <c r="E58" s="517">
        <f t="shared" si="11"/>
        <v>13.106</v>
      </c>
      <c r="F58" s="518">
        <v>0</v>
      </c>
      <c r="G58" s="519">
        <v>0</v>
      </c>
      <c r="H58" s="519">
        <v>0</v>
      </c>
      <c r="I58" s="519">
        <v>0</v>
      </c>
      <c r="J58" s="519">
        <v>0</v>
      </c>
      <c r="K58" s="519">
        <v>0</v>
      </c>
      <c r="L58" s="519">
        <v>0</v>
      </c>
      <c r="M58" s="519">
        <v>13.106</v>
      </c>
      <c r="N58" s="520">
        <v>0</v>
      </c>
      <c r="O58" s="521">
        <v>0</v>
      </c>
      <c r="P58" s="520">
        <v>86.894000000000005</v>
      </c>
      <c r="Q58" s="522"/>
      <c r="R58" s="462"/>
    </row>
    <row r="59" spans="1:18" x14ac:dyDescent="0.25">
      <c r="A59" s="459"/>
      <c r="B59" s="523"/>
      <c r="C59" s="524"/>
      <c r="D59" s="525"/>
      <c r="E59" s="525"/>
      <c r="F59" s="525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461"/>
      <c r="R59" s="462"/>
    </row>
    <row r="60" spans="1:18" x14ac:dyDescent="0.25">
      <c r="A60" s="527"/>
      <c r="C60" s="528"/>
      <c r="D60" s="529"/>
      <c r="E60" s="529"/>
      <c r="F60" s="529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1"/>
      <c r="R60" s="462"/>
    </row>
    <row r="61" spans="1:18" x14ac:dyDescent="0.25">
      <c r="A61" s="527"/>
      <c r="B61" s="529"/>
      <c r="C61" s="528"/>
      <c r="D61" s="529"/>
      <c r="E61" s="529"/>
      <c r="F61" s="529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1"/>
      <c r="R61" s="462"/>
    </row>
    <row r="62" spans="1:18" x14ac:dyDescent="0.25">
      <c r="A62" s="532"/>
      <c r="B62" s="533" t="s">
        <v>851</v>
      </c>
      <c r="C62" s="534"/>
      <c r="D62" s="534"/>
      <c r="E62" s="534"/>
      <c r="F62" s="534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1"/>
      <c r="R62" s="462"/>
    </row>
    <row r="63" spans="1:18" x14ac:dyDescent="0.25">
      <c r="A63" s="532"/>
      <c r="B63" s="534"/>
      <c r="C63" s="534"/>
      <c r="D63" s="534"/>
      <c r="E63" s="534"/>
      <c r="F63" s="534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1"/>
      <c r="R63" s="462"/>
    </row>
    <row r="64" spans="1:18" x14ac:dyDescent="0.25">
      <c r="A64" s="535"/>
      <c r="B64" s="536"/>
      <c r="C64" s="536"/>
      <c r="D64" s="536"/>
      <c r="E64" s="536"/>
      <c r="F64" s="536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3"/>
      <c r="R64" s="537"/>
    </row>
  </sheetData>
  <sheetProtection algorithmName="SHA-512" hashValue="MoxLLg8rTp1gWEm66o1bc5zny7Qh6EVxvm6kylxywLuQvxttjoFlOGib3pNpliZnrqx7Nb98oPiczOMZ8BgjtQ==" saltValue="bL6NN4Or1C8ggYBVEiS5utLstYURbxyERVMPLNcyYvaYemErXzGCtFI7VBLCTOhCa/dfEiIyGd68SuN9gHpq3w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9"/>
  <sheetViews>
    <sheetView topLeftCell="A7" workbookViewId="0">
      <selection activeCell="D30" sqref="D30"/>
    </sheetView>
  </sheetViews>
  <sheetFormatPr defaultRowHeight="15" x14ac:dyDescent="0.25"/>
  <cols>
    <col min="1" max="1" width="7.28515625" customWidth="1"/>
    <col min="2" max="2" width="49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7" max="17" width="18.140625" customWidth="1"/>
    <col min="18" max="18" width="21.28515625" customWidth="1"/>
  </cols>
  <sheetData>
    <row r="1" spans="1:18" x14ac:dyDescent="0.25">
      <c r="A1" s="960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2"/>
    </row>
    <row r="2" spans="1:18" x14ac:dyDescent="0.25">
      <c r="A2" s="960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2"/>
    </row>
    <row r="3" spans="1:18" x14ac:dyDescent="0.25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5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5">
      <c r="A5" s="966" t="s">
        <v>852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8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.75" thickBot="1" x14ac:dyDescent="0.3">
      <c r="A8" s="459"/>
      <c r="B8" s="460"/>
      <c r="C8" s="460"/>
      <c r="D8" s="460"/>
      <c r="E8" s="460"/>
      <c r="F8" s="460"/>
      <c r="G8" s="460"/>
      <c r="H8" s="460"/>
      <c r="I8" s="1071" t="s">
        <v>853</v>
      </c>
      <c r="J8" s="1071"/>
      <c r="K8" s="1071"/>
      <c r="L8" s="1071"/>
      <c r="M8" s="1071"/>
      <c r="N8" s="1071"/>
      <c r="O8" s="1071"/>
      <c r="P8" s="1071"/>
      <c r="Q8" s="461"/>
    </row>
    <row r="9" spans="1:18" ht="18" customHeight="1" x14ac:dyDescent="0.25">
      <c r="A9" s="1037" t="s">
        <v>4</v>
      </c>
      <c r="B9" s="1056" t="s">
        <v>5</v>
      </c>
      <c r="C9" s="1058" t="s">
        <v>160</v>
      </c>
      <c r="D9" s="1072" t="s">
        <v>783</v>
      </c>
      <c r="E9" s="1075" t="s">
        <v>784</v>
      </c>
      <c r="F9" s="1078" t="s">
        <v>854</v>
      </c>
      <c r="G9" s="1078"/>
      <c r="H9" s="1078"/>
      <c r="I9" s="1078"/>
      <c r="J9" s="1078"/>
      <c r="K9" s="1078"/>
      <c r="L9" s="1078"/>
      <c r="M9" s="1078"/>
      <c r="N9" s="1079"/>
      <c r="O9" s="1075" t="s">
        <v>786</v>
      </c>
      <c r="P9" s="1080" t="s">
        <v>787</v>
      </c>
      <c r="Q9" s="1068" t="s">
        <v>492</v>
      </c>
      <c r="R9" s="7"/>
    </row>
    <row r="10" spans="1:18" ht="15" customHeight="1" x14ac:dyDescent="0.25">
      <c r="A10" s="1038"/>
      <c r="B10" s="1025"/>
      <c r="C10" s="1059"/>
      <c r="D10" s="1073"/>
      <c r="E10" s="1076"/>
      <c r="F10" s="1083" t="s">
        <v>855</v>
      </c>
      <c r="G10" s="1086" t="s">
        <v>856</v>
      </c>
      <c r="H10" s="1086"/>
      <c r="I10" s="1086"/>
      <c r="J10" s="1062" t="s">
        <v>857</v>
      </c>
      <c r="K10" s="1063"/>
      <c r="L10" s="1063"/>
      <c r="M10" s="1063"/>
      <c r="N10" s="1064"/>
      <c r="O10" s="1076"/>
      <c r="P10" s="1081"/>
      <c r="Q10" s="1069"/>
      <c r="R10" s="7"/>
    </row>
    <row r="11" spans="1:18" x14ac:dyDescent="0.25">
      <c r="A11" s="1038"/>
      <c r="B11" s="1025"/>
      <c r="C11" s="1059"/>
      <c r="D11" s="1073"/>
      <c r="E11" s="1076"/>
      <c r="F11" s="1084"/>
      <c r="G11" s="1086"/>
      <c r="H11" s="1086"/>
      <c r="I11" s="1086"/>
      <c r="J11" s="1065"/>
      <c r="K11" s="1066"/>
      <c r="L11" s="1066"/>
      <c r="M11" s="1066"/>
      <c r="N11" s="1067"/>
      <c r="O11" s="1076"/>
      <c r="P11" s="1081"/>
      <c r="Q11" s="1069"/>
      <c r="R11" s="7"/>
    </row>
    <row r="12" spans="1:18" ht="85.5" customHeight="1" thickBot="1" x14ac:dyDescent="0.3">
      <c r="A12" s="1039"/>
      <c r="B12" s="1057"/>
      <c r="C12" s="1060"/>
      <c r="D12" s="1074"/>
      <c r="E12" s="1077"/>
      <c r="F12" s="1085"/>
      <c r="G12" s="538" t="s">
        <v>858</v>
      </c>
      <c r="H12" s="538" t="s">
        <v>859</v>
      </c>
      <c r="I12" s="538" t="s">
        <v>860</v>
      </c>
      <c r="J12" s="538" t="s">
        <v>794</v>
      </c>
      <c r="K12" s="538" t="s">
        <v>795</v>
      </c>
      <c r="L12" s="538" t="s">
        <v>796</v>
      </c>
      <c r="M12" s="539" t="s">
        <v>861</v>
      </c>
      <c r="N12" s="540" t="s">
        <v>862</v>
      </c>
      <c r="O12" s="1077"/>
      <c r="P12" s="1082"/>
      <c r="Q12" s="1070"/>
      <c r="R12" s="7"/>
    </row>
    <row r="13" spans="1:18" x14ac:dyDescent="0.25">
      <c r="A13" s="541">
        <v>1</v>
      </c>
      <c r="B13" s="53">
        <v>2</v>
      </c>
      <c r="C13" s="53">
        <v>3</v>
      </c>
      <c r="D13" s="542">
        <v>4</v>
      </c>
      <c r="E13" s="469">
        <v>5</v>
      </c>
      <c r="F13" s="470">
        <v>6</v>
      </c>
      <c r="G13" s="470">
        <v>7</v>
      </c>
      <c r="H13" s="470">
        <v>8</v>
      </c>
      <c r="I13" s="8">
        <v>9</v>
      </c>
      <c r="J13" s="470">
        <v>10</v>
      </c>
      <c r="K13" s="471">
        <v>11</v>
      </c>
      <c r="L13" s="471">
        <v>12</v>
      </c>
      <c r="M13" s="8">
        <v>13</v>
      </c>
      <c r="N13" s="543">
        <v>14</v>
      </c>
      <c r="O13" s="467">
        <v>15</v>
      </c>
      <c r="P13" s="472">
        <v>16</v>
      </c>
      <c r="Q13" s="544">
        <v>17</v>
      </c>
    </row>
    <row r="14" spans="1:18" x14ac:dyDescent="0.25">
      <c r="A14" s="229" t="s">
        <v>347</v>
      </c>
      <c r="B14" s="545" t="s">
        <v>863</v>
      </c>
      <c r="C14" s="475" t="s">
        <v>645</v>
      </c>
      <c r="D14" s="546">
        <f t="shared" ref="D14:P14" si="0">SUM(D15,D16,D17,D27:D33,D37)</f>
        <v>868.9339993000001</v>
      </c>
      <c r="E14" s="477">
        <f>SUM(E15,E16,E17,E27:E33,E37)</f>
        <v>129.87784437757986</v>
      </c>
      <c r="F14" s="547">
        <f t="shared" si="0"/>
        <v>0</v>
      </c>
      <c r="G14" s="547">
        <f t="shared" si="0"/>
        <v>0</v>
      </c>
      <c r="H14" s="547">
        <f t="shared" si="0"/>
        <v>0</v>
      </c>
      <c r="I14" s="547">
        <f t="shared" si="0"/>
        <v>0</v>
      </c>
      <c r="J14" s="547">
        <f t="shared" si="0"/>
        <v>0</v>
      </c>
      <c r="K14" s="547">
        <f t="shared" si="0"/>
        <v>0</v>
      </c>
      <c r="L14" s="547">
        <f t="shared" si="0"/>
        <v>0</v>
      </c>
      <c r="M14" s="547">
        <f t="shared" si="0"/>
        <v>129.87784437757986</v>
      </c>
      <c r="N14" s="548">
        <f t="shared" si="0"/>
        <v>0</v>
      </c>
      <c r="O14" s="477">
        <f t="shared" si="0"/>
        <v>0</v>
      </c>
      <c r="P14" s="476">
        <f t="shared" si="0"/>
        <v>739.05615492242032</v>
      </c>
      <c r="Q14" s="549" t="s">
        <v>864</v>
      </c>
    </row>
    <row r="15" spans="1:18" x14ac:dyDescent="0.25">
      <c r="A15" s="550" t="s">
        <v>285</v>
      </c>
      <c r="B15" s="551" t="s">
        <v>801</v>
      </c>
      <c r="C15" s="480" t="s">
        <v>645</v>
      </c>
      <c r="D15" s="552">
        <f>'[2]12'!H13</f>
        <v>53.414459999999998</v>
      </c>
      <c r="E15" s="553">
        <f>SUM(F15:N15)</f>
        <v>7.9837535750483832</v>
      </c>
      <c r="F15" s="483">
        <f>$D15*F$43/100</f>
        <v>0</v>
      </c>
      <c r="G15" s="483">
        <f t="shared" ref="G15:P16" si="1">$D15*G$43/100</f>
        <v>0</v>
      </c>
      <c r="H15" s="483">
        <f t="shared" si="1"/>
        <v>0</v>
      </c>
      <c r="I15" s="483">
        <f t="shared" si="1"/>
        <v>0</v>
      </c>
      <c r="J15" s="483">
        <f t="shared" si="1"/>
        <v>0</v>
      </c>
      <c r="K15" s="483">
        <f t="shared" si="1"/>
        <v>0</v>
      </c>
      <c r="L15" s="483">
        <f t="shared" si="1"/>
        <v>0</v>
      </c>
      <c r="M15" s="483">
        <f t="shared" si="1"/>
        <v>7.9837535750483832</v>
      </c>
      <c r="N15" s="554">
        <f t="shared" si="1"/>
        <v>0</v>
      </c>
      <c r="O15" s="482">
        <f t="shared" si="1"/>
        <v>0</v>
      </c>
      <c r="P15" s="484">
        <f t="shared" si="1"/>
        <v>45.430706424951623</v>
      </c>
      <c r="Q15" s="555"/>
    </row>
    <row r="16" spans="1:18" x14ac:dyDescent="0.25">
      <c r="A16" s="57" t="s">
        <v>295</v>
      </c>
      <c r="B16" s="556" t="s">
        <v>802</v>
      </c>
      <c r="C16" s="480" t="s">
        <v>645</v>
      </c>
      <c r="D16" s="481">
        <f>'[2]12'!H14</f>
        <v>0</v>
      </c>
      <c r="E16" s="553">
        <f>SUM(F16:N16)</f>
        <v>0</v>
      </c>
      <c r="F16" s="483">
        <f>$D16*F$43/100</f>
        <v>0</v>
      </c>
      <c r="G16" s="483">
        <f t="shared" si="1"/>
        <v>0</v>
      </c>
      <c r="H16" s="483">
        <f t="shared" si="1"/>
        <v>0</v>
      </c>
      <c r="I16" s="483">
        <f t="shared" si="1"/>
        <v>0</v>
      </c>
      <c r="J16" s="483">
        <f t="shared" si="1"/>
        <v>0</v>
      </c>
      <c r="K16" s="483">
        <f t="shared" si="1"/>
        <v>0</v>
      </c>
      <c r="L16" s="483">
        <f t="shared" si="1"/>
        <v>0</v>
      </c>
      <c r="M16" s="483">
        <f t="shared" si="1"/>
        <v>0</v>
      </c>
      <c r="N16" s="554">
        <f t="shared" si="1"/>
        <v>0</v>
      </c>
      <c r="O16" s="482">
        <f t="shared" si="1"/>
        <v>0</v>
      </c>
      <c r="P16" s="484">
        <f t="shared" si="1"/>
        <v>0</v>
      </c>
      <c r="Q16" s="555"/>
    </row>
    <row r="17" spans="1:17" x14ac:dyDescent="0.25">
      <c r="A17" s="57" t="s">
        <v>297</v>
      </c>
      <c r="B17" s="556" t="s">
        <v>865</v>
      </c>
      <c r="C17" s="480" t="s">
        <v>645</v>
      </c>
      <c r="D17" s="487">
        <f>SUM(D18:D26)</f>
        <v>139.88736</v>
      </c>
      <c r="E17" s="557">
        <f t="shared" ref="E17:P17" si="2">SUM(E18:E26)</f>
        <v>20.908686720863233</v>
      </c>
      <c r="F17" s="558">
        <f t="shared" si="2"/>
        <v>0</v>
      </c>
      <c r="G17" s="558">
        <f t="shared" si="2"/>
        <v>0</v>
      </c>
      <c r="H17" s="558">
        <f t="shared" si="2"/>
        <v>0</v>
      </c>
      <c r="I17" s="558">
        <f t="shared" si="2"/>
        <v>0</v>
      </c>
      <c r="J17" s="558">
        <f t="shared" si="2"/>
        <v>0</v>
      </c>
      <c r="K17" s="558">
        <f t="shared" si="2"/>
        <v>0</v>
      </c>
      <c r="L17" s="558">
        <f t="shared" si="2"/>
        <v>0</v>
      </c>
      <c r="M17" s="558">
        <f t="shared" si="2"/>
        <v>20.908686720863233</v>
      </c>
      <c r="N17" s="559">
        <f t="shared" si="2"/>
        <v>0</v>
      </c>
      <c r="O17" s="560">
        <f t="shared" si="2"/>
        <v>0</v>
      </c>
      <c r="P17" s="561">
        <f t="shared" si="2"/>
        <v>118.97867327913679</v>
      </c>
      <c r="Q17" s="555"/>
    </row>
    <row r="18" spans="1:17" x14ac:dyDescent="0.25">
      <c r="A18" s="57" t="s">
        <v>734</v>
      </c>
      <c r="B18" s="562" t="s">
        <v>866</v>
      </c>
      <c r="C18" s="480" t="s">
        <v>645</v>
      </c>
      <c r="D18" s="481">
        <f>'[2]12'!H16</f>
        <v>0</v>
      </c>
      <c r="E18" s="553">
        <f>SUM(F18:N18)</f>
        <v>0</v>
      </c>
      <c r="F18" s="483">
        <f>$D18*F$43/100</f>
        <v>0</v>
      </c>
      <c r="G18" s="483">
        <f t="shared" ref="G18:P18" si="3">$D18*G$43/100</f>
        <v>0</v>
      </c>
      <c r="H18" s="483">
        <f t="shared" si="3"/>
        <v>0</v>
      </c>
      <c r="I18" s="483">
        <f t="shared" si="3"/>
        <v>0</v>
      </c>
      <c r="J18" s="483">
        <f t="shared" si="3"/>
        <v>0</v>
      </c>
      <c r="K18" s="483">
        <f t="shared" si="3"/>
        <v>0</v>
      </c>
      <c r="L18" s="483">
        <f t="shared" si="3"/>
        <v>0</v>
      </c>
      <c r="M18" s="483">
        <f t="shared" si="3"/>
        <v>0</v>
      </c>
      <c r="N18" s="554">
        <f t="shared" si="3"/>
        <v>0</v>
      </c>
      <c r="O18" s="482">
        <f t="shared" si="3"/>
        <v>0</v>
      </c>
      <c r="P18" s="484">
        <f t="shared" si="3"/>
        <v>0</v>
      </c>
      <c r="Q18" s="555"/>
    </row>
    <row r="19" spans="1:17" x14ac:dyDescent="0.25">
      <c r="A19" s="57" t="s">
        <v>736</v>
      </c>
      <c r="B19" s="563" t="s">
        <v>867</v>
      </c>
      <c r="C19" s="480" t="s">
        <v>645</v>
      </c>
      <c r="D19" s="481">
        <f>'[2]12'!H35</f>
        <v>0</v>
      </c>
      <c r="E19" s="553">
        <f t="shared" ref="E19:E35" si="4">SUM(F19:N19)</f>
        <v>0</v>
      </c>
      <c r="F19" s="483">
        <f t="shared" ref="F19:P32" si="5">$D19*F$43/100</f>
        <v>0</v>
      </c>
      <c r="G19" s="483">
        <f t="shared" si="5"/>
        <v>0</v>
      </c>
      <c r="H19" s="483">
        <f t="shared" si="5"/>
        <v>0</v>
      </c>
      <c r="I19" s="483">
        <f t="shared" si="5"/>
        <v>0</v>
      </c>
      <c r="J19" s="483">
        <f t="shared" si="5"/>
        <v>0</v>
      </c>
      <c r="K19" s="483">
        <f t="shared" si="5"/>
        <v>0</v>
      </c>
      <c r="L19" s="483">
        <f t="shared" si="5"/>
        <v>0</v>
      </c>
      <c r="M19" s="483">
        <f t="shared" si="5"/>
        <v>0</v>
      </c>
      <c r="N19" s="554">
        <f t="shared" si="5"/>
        <v>0</v>
      </c>
      <c r="O19" s="482">
        <f t="shared" si="5"/>
        <v>0</v>
      </c>
      <c r="P19" s="484">
        <f t="shared" si="5"/>
        <v>0</v>
      </c>
      <c r="Q19" s="555"/>
    </row>
    <row r="20" spans="1:17" x14ac:dyDescent="0.25">
      <c r="A20" s="57" t="s">
        <v>738</v>
      </c>
      <c r="B20" s="556" t="s">
        <v>806</v>
      </c>
      <c r="C20" s="480" t="s">
        <v>645</v>
      </c>
      <c r="D20" s="481">
        <f>'[2]12'!H18</f>
        <v>0</v>
      </c>
      <c r="E20" s="553">
        <f t="shared" si="4"/>
        <v>0</v>
      </c>
      <c r="F20" s="483">
        <f t="shared" si="5"/>
        <v>0</v>
      </c>
      <c r="G20" s="483">
        <f t="shared" si="5"/>
        <v>0</v>
      </c>
      <c r="H20" s="483">
        <f t="shared" si="5"/>
        <v>0</v>
      </c>
      <c r="I20" s="483">
        <f t="shared" si="5"/>
        <v>0</v>
      </c>
      <c r="J20" s="483">
        <f t="shared" si="5"/>
        <v>0</v>
      </c>
      <c r="K20" s="483">
        <f t="shared" si="5"/>
        <v>0</v>
      </c>
      <c r="L20" s="483">
        <f t="shared" si="5"/>
        <v>0</v>
      </c>
      <c r="M20" s="483">
        <f t="shared" si="5"/>
        <v>0</v>
      </c>
      <c r="N20" s="554">
        <f t="shared" si="5"/>
        <v>0</v>
      </c>
      <c r="O20" s="482">
        <f t="shared" si="5"/>
        <v>0</v>
      </c>
      <c r="P20" s="484">
        <f t="shared" si="5"/>
        <v>0</v>
      </c>
      <c r="Q20" s="555"/>
    </row>
    <row r="21" spans="1:17" x14ac:dyDescent="0.25">
      <c r="A21" s="57" t="s">
        <v>807</v>
      </c>
      <c r="B21" s="563" t="s">
        <v>808</v>
      </c>
      <c r="C21" s="480" t="s">
        <v>645</v>
      </c>
      <c r="D21" s="481">
        <f>'[2]12'!H37</f>
        <v>96.058400000000006</v>
      </c>
      <c r="E21" s="553">
        <f t="shared" si="4"/>
        <v>14.357658851431387</v>
      </c>
      <c r="F21" s="483">
        <f t="shared" si="5"/>
        <v>0</v>
      </c>
      <c r="G21" s="483">
        <f t="shared" si="5"/>
        <v>0</v>
      </c>
      <c r="H21" s="483">
        <f t="shared" si="5"/>
        <v>0</v>
      </c>
      <c r="I21" s="483">
        <f t="shared" si="5"/>
        <v>0</v>
      </c>
      <c r="J21" s="483">
        <f t="shared" si="5"/>
        <v>0</v>
      </c>
      <c r="K21" s="483">
        <f t="shared" si="5"/>
        <v>0</v>
      </c>
      <c r="L21" s="483">
        <f t="shared" si="5"/>
        <v>0</v>
      </c>
      <c r="M21" s="483">
        <f t="shared" si="5"/>
        <v>14.357658851431387</v>
      </c>
      <c r="N21" s="554">
        <f t="shared" si="5"/>
        <v>0</v>
      </c>
      <c r="O21" s="482">
        <f t="shared" si="5"/>
        <v>0</v>
      </c>
      <c r="P21" s="484">
        <f t="shared" si="5"/>
        <v>81.700741148568625</v>
      </c>
      <c r="Q21" s="555"/>
    </row>
    <row r="22" spans="1:17" x14ac:dyDescent="0.25">
      <c r="A22" s="57" t="s">
        <v>809</v>
      </c>
      <c r="B22" s="563" t="s">
        <v>868</v>
      </c>
      <c r="C22" s="480" t="s">
        <v>645</v>
      </c>
      <c r="D22" s="481">
        <f>'[2]12'!H20</f>
        <v>2.2327000000000004</v>
      </c>
      <c r="E22" s="553">
        <f t="shared" si="4"/>
        <v>0.3337172482322302</v>
      </c>
      <c r="F22" s="483">
        <f t="shared" si="5"/>
        <v>0</v>
      </c>
      <c r="G22" s="483">
        <f t="shared" si="5"/>
        <v>0</v>
      </c>
      <c r="H22" s="483">
        <f t="shared" si="5"/>
        <v>0</v>
      </c>
      <c r="I22" s="483">
        <f t="shared" si="5"/>
        <v>0</v>
      </c>
      <c r="J22" s="483">
        <f t="shared" si="5"/>
        <v>0</v>
      </c>
      <c r="K22" s="483">
        <f t="shared" si="5"/>
        <v>0</v>
      </c>
      <c r="L22" s="483">
        <f t="shared" si="5"/>
        <v>0</v>
      </c>
      <c r="M22" s="483">
        <f t="shared" si="5"/>
        <v>0.3337172482322302</v>
      </c>
      <c r="N22" s="554">
        <f t="shared" si="5"/>
        <v>0</v>
      </c>
      <c r="O22" s="482">
        <f t="shared" si="5"/>
        <v>0</v>
      </c>
      <c r="P22" s="484">
        <f t="shared" si="5"/>
        <v>1.8989827517677704</v>
      </c>
      <c r="Q22" s="555"/>
    </row>
    <row r="23" spans="1:17" x14ac:dyDescent="0.25">
      <c r="A23" s="57" t="s">
        <v>869</v>
      </c>
      <c r="B23" s="563" t="s">
        <v>870</v>
      </c>
      <c r="C23" s="480" t="s">
        <v>645</v>
      </c>
      <c r="D23" s="481">
        <f>'[2]12'!H21</f>
        <v>21.313170000000003</v>
      </c>
      <c r="E23" s="553">
        <f t="shared" si="4"/>
        <v>3.1856373196155867</v>
      </c>
      <c r="F23" s="483">
        <f t="shared" si="5"/>
        <v>0</v>
      </c>
      <c r="G23" s="483">
        <f t="shared" si="5"/>
        <v>0</v>
      </c>
      <c r="H23" s="483">
        <f t="shared" si="5"/>
        <v>0</v>
      </c>
      <c r="I23" s="483">
        <f t="shared" si="5"/>
        <v>0</v>
      </c>
      <c r="J23" s="483">
        <f t="shared" si="5"/>
        <v>0</v>
      </c>
      <c r="K23" s="483">
        <f t="shared" si="5"/>
        <v>0</v>
      </c>
      <c r="L23" s="483">
        <f t="shared" si="5"/>
        <v>0</v>
      </c>
      <c r="M23" s="483">
        <f t="shared" si="5"/>
        <v>3.1856373196155867</v>
      </c>
      <c r="N23" s="554">
        <f t="shared" si="5"/>
        <v>0</v>
      </c>
      <c r="O23" s="482">
        <f t="shared" si="5"/>
        <v>0</v>
      </c>
      <c r="P23" s="484">
        <f t="shared" si="5"/>
        <v>18.127532680384419</v>
      </c>
      <c r="Q23" s="555"/>
    </row>
    <row r="24" spans="1:17" x14ac:dyDescent="0.25">
      <c r="A24" s="57" t="s">
        <v>871</v>
      </c>
      <c r="B24" s="563" t="s">
        <v>872</v>
      </c>
      <c r="C24" s="480" t="s">
        <v>645</v>
      </c>
      <c r="D24" s="481">
        <f>'[2]12'!H22</f>
        <v>7.753210000000001</v>
      </c>
      <c r="E24" s="553">
        <f t="shared" si="4"/>
        <v>1.1588569472686026</v>
      </c>
      <c r="F24" s="483">
        <f t="shared" si="5"/>
        <v>0</v>
      </c>
      <c r="G24" s="483">
        <f t="shared" si="5"/>
        <v>0</v>
      </c>
      <c r="H24" s="483">
        <f t="shared" si="5"/>
        <v>0</v>
      </c>
      <c r="I24" s="483">
        <f t="shared" si="5"/>
        <v>0</v>
      </c>
      <c r="J24" s="483">
        <f t="shared" si="5"/>
        <v>0</v>
      </c>
      <c r="K24" s="483">
        <f t="shared" si="5"/>
        <v>0</v>
      </c>
      <c r="L24" s="483">
        <f t="shared" si="5"/>
        <v>0</v>
      </c>
      <c r="M24" s="483">
        <f t="shared" si="5"/>
        <v>1.1588569472686026</v>
      </c>
      <c r="N24" s="554">
        <f t="shared" si="5"/>
        <v>0</v>
      </c>
      <c r="O24" s="482">
        <f t="shared" si="5"/>
        <v>0</v>
      </c>
      <c r="P24" s="484">
        <f t="shared" si="5"/>
        <v>6.5943530527313987</v>
      </c>
      <c r="Q24" s="555"/>
    </row>
    <row r="25" spans="1:17" x14ac:dyDescent="0.25">
      <c r="A25" s="57" t="s">
        <v>873</v>
      </c>
      <c r="B25" s="563" t="s">
        <v>874</v>
      </c>
      <c r="C25" s="480" t="s">
        <v>645</v>
      </c>
      <c r="D25" s="481">
        <f>'[2]12'!H23</f>
        <v>0</v>
      </c>
      <c r="E25" s="553">
        <f t="shared" si="4"/>
        <v>0</v>
      </c>
      <c r="F25" s="483">
        <f t="shared" si="5"/>
        <v>0</v>
      </c>
      <c r="G25" s="483">
        <f t="shared" si="5"/>
        <v>0</v>
      </c>
      <c r="H25" s="483">
        <f t="shared" si="5"/>
        <v>0</v>
      </c>
      <c r="I25" s="483">
        <f t="shared" si="5"/>
        <v>0</v>
      </c>
      <c r="J25" s="483">
        <f t="shared" si="5"/>
        <v>0</v>
      </c>
      <c r="K25" s="483">
        <f t="shared" si="5"/>
        <v>0</v>
      </c>
      <c r="L25" s="483">
        <f t="shared" si="5"/>
        <v>0</v>
      </c>
      <c r="M25" s="483">
        <f t="shared" si="5"/>
        <v>0</v>
      </c>
      <c r="N25" s="554">
        <f t="shared" si="5"/>
        <v>0</v>
      </c>
      <c r="O25" s="482">
        <f t="shared" si="5"/>
        <v>0</v>
      </c>
      <c r="P25" s="484">
        <f t="shared" si="5"/>
        <v>0</v>
      </c>
      <c r="Q25" s="555"/>
    </row>
    <row r="26" spans="1:17" x14ac:dyDescent="0.25">
      <c r="A26" s="57" t="s">
        <v>875</v>
      </c>
      <c r="B26" s="563" t="s">
        <v>810</v>
      </c>
      <c r="C26" s="480" t="s">
        <v>645</v>
      </c>
      <c r="D26" s="481">
        <f>'[2]12'!H24</f>
        <v>12.52988</v>
      </c>
      <c r="E26" s="553">
        <f t="shared" si="4"/>
        <v>1.8728163543154279</v>
      </c>
      <c r="F26" s="483">
        <f t="shared" si="5"/>
        <v>0</v>
      </c>
      <c r="G26" s="483">
        <f t="shared" si="5"/>
        <v>0</v>
      </c>
      <c r="H26" s="483">
        <f t="shared" si="5"/>
        <v>0</v>
      </c>
      <c r="I26" s="483">
        <f t="shared" si="5"/>
        <v>0</v>
      </c>
      <c r="J26" s="483">
        <f t="shared" si="5"/>
        <v>0</v>
      </c>
      <c r="K26" s="483">
        <f t="shared" si="5"/>
        <v>0</v>
      </c>
      <c r="L26" s="483">
        <f t="shared" si="5"/>
        <v>0</v>
      </c>
      <c r="M26" s="483">
        <f t="shared" si="5"/>
        <v>1.8728163543154279</v>
      </c>
      <c r="N26" s="554">
        <f t="shared" si="5"/>
        <v>0</v>
      </c>
      <c r="O26" s="482">
        <f t="shared" si="5"/>
        <v>0</v>
      </c>
      <c r="P26" s="484">
        <f t="shared" si="5"/>
        <v>10.657063645684575</v>
      </c>
      <c r="Q26" s="555"/>
    </row>
    <row r="27" spans="1:17" x14ac:dyDescent="0.25">
      <c r="A27" s="57" t="s">
        <v>16</v>
      </c>
      <c r="B27" s="563" t="s">
        <v>811</v>
      </c>
      <c r="C27" s="480" t="s">
        <v>645</v>
      </c>
      <c r="D27" s="488">
        <f>'[2]12'!H32</f>
        <v>7.5983473000000004</v>
      </c>
      <c r="E27" s="553">
        <f t="shared" si="4"/>
        <v>1.1357099261292585</v>
      </c>
      <c r="F27" s="483">
        <f t="shared" si="5"/>
        <v>0</v>
      </c>
      <c r="G27" s="483">
        <f t="shared" si="5"/>
        <v>0</v>
      </c>
      <c r="H27" s="483">
        <f t="shared" si="5"/>
        <v>0</v>
      </c>
      <c r="I27" s="483">
        <f t="shared" si="5"/>
        <v>0</v>
      </c>
      <c r="J27" s="483">
        <f t="shared" si="5"/>
        <v>0</v>
      </c>
      <c r="K27" s="483">
        <f t="shared" si="5"/>
        <v>0</v>
      </c>
      <c r="L27" s="483">
        <f t="shared" si="5"/>
        <v>0</v>
      </c>
      <c r="M27" s="483">
        <f t="shared" si="5"/>
        <v>1.1357099261292585</v>
      </c>
      <c r="N27" s="554">
        <f t="shared" si="5"/>
        <v>0</v>
      </c>
      <c r="O27" s="482">
        <f t="shared" si="5"/>
        <v>0</v>
      </c>
      <c r="P27" s="484">
        <f t="shared" si="5"/>
        <v>6.4626373738707423</v>
      </c>
      <c r="Q27" s="555"/>
    </row>
    <row r="28" spans="1:17" x14ac:dyDescent="0.25">
      <c r="A28" s="57" t="s">
        <v>18</v>
      </c>
      <c r="B28" s="563" t="s">
        <v>812</v>
      </c>
      <c r="C28" s="480" t="s">
        <v>645</v>
      </c>
      <c r="D28" s="488">
        <f>'[2]12'!H34</f>
        <v>5.3464700000000001</v>
      </c>
      <c r="E28" s="553">
        <f t="shared" si="4"/>
        <v>0.79912628483726933</v>
      </c>
      <c r="F28" s="483">
        <f t="shared" si="5"/>
        <v>0</v>
      </c>
      <c r="G28" s="483">
        <f t="shared" si="5"/>
        <v>0</v>
      </c>
      <c r="H28" s="483">
        <f t="shared" si="5"/>
        <v>0</v>
      </c>
      <c r="I28" s="483">
        <f t="shared" si="5"/>
        <v>0</v>
      </c>
      <c r="J28" s="483">
        <f t="shared" si="5"/>
        <v>0</v>
      </c>
      <c r="K28" s="483">
        <f t="shared" si="5"/>
        <v>0</v>
      </c>
      <c r="L28" s="483">
        <f t="shared" si="5"/>
        <v>0</v>
      </c>
      <c r="M28" s="483">
        <f t="shared" si="5"/>
        <v>0.79912628483726933</v>
      </c>
      <c r="N28" s="554">
        <f t="shared" si="5"/>
        <v>0</v>
      </c>
      <c r="O28" s="482">
        <f t="shared" si="5"/>
        <v>0</v>
      </c>
      <c r="P28" s="484">
        <f t="shared" si="5"/>
        <v>4.5473437151627314</v>
      </c>
      <c r="Q28" s="555"/>
    </row>
    <row r="29" spans="1:17" x14ac:dyDescent="0.25">
      <c r="A29" s="57" t="s">
        <v>20</v>
      </c>
      <c r="B29" s="551" t="s">
        <v>813</v>
      </c>
      <c r="C29" s="480" t="s">
        <v>645</v>
      </c>
      <c r="D29" s="488">
        <f>'[2]12'!H30</f>
        <v>2.274562</v>
      </c>
      <c r="E29" s="553">
        <f t="shared" si="4"/>
        <v>0.3399742784850619</v>
      </c>
      <c r="F29" s="483">
        <f t="shared" si="5"/>
        <v>0</v>
      </c>
      <c r="G29" s="483">
        <f t="shared" si="5"/>
        <v>0</v>
      </c>
      <c r="H29" s="483">
        <f t="shared" si="5"/>
        <v>0</v>
      </c>
      <c r="I29" s="483">
        <f t="shared" si="5"/>
        <v>0</v>
      </c>
      <c r="J29" s="483">
        <f t="shared" si="5"/>
        <v>0</v>
      </c>
      <c r="K29" s="483">
        <f t="shared" si="5"/>
        <v>0</v>
      </c>
      <c r="L29" s="483">
        <f t="shared" si="5"/>
        <v>0</v>
      </c>
      <c r="M29" s="483">
        <f t="shared" si="5"/>
        <v>0.3399742784850619</v>
      </c>
      <c r="N29" s="554">
        <f t="shared" si="5"/>
        <v>0</v>
      </c>
      <c r="O29" s="482">
        <f t="shared" si="5"/>
        <v>0</v>
      </c>
      <c r="P29" s="484">
        <f t="shared" si="5"/>
        <v>1.9345877215149383</v>
      </c>
      <c r="Q29" s="555"/>
    </row>
    <row r="30" spans="1:17" x14ac:dyDescent="0.25">
      <c r="A30" s="564" t="s">
        <v>747</v>
      </c>
      <c r="B30" s="563" t="s">
        <v>876</v>
      </c>
      <c r="C30" s="480" t="s">
        <v>645</v>
      </c>
      <c r="D30" s="481">
        <f>'[2]12'!H27</f>
        <v>397.73552000000007</v>
      </c>
      <c r="E30" s="553">
        <f t="shared" si="4"/>
        <v>59.448740654192299</v>
      </c>
      <c r="F30" s="483">
        <f t="shared" si="5"/>
        <v>0</v>
      </c>
      <c r="G30" s="483">
        <f t="shared" si="5"/>
        <v>0</v>
      </c>
      <c r="H30" s="483">
        <f t="shared" si="5"/>
        <v>0</v>
      </c>
      <c r="I30" s="483">
        <f t="shared" si="5"/>
        <v>0</v>
      </c>
      <c r="J30" s="483">
        <f t="shared" si="5"/>
        <v>0</v>
      </c>
      <c r="K30" s="483">
        <f t="shared" si="5"/>
        <v>0</v>
      </c>
      <c r="L30" s="483">
        <f t="shared" si="5"/>
        <v>0</v>
      </c>
      <c r="M30" s="483">
        <f t="shared" si="5"/>
        <v>59.448740654192299</v>
      </c>
      <c r="N30" s="554">
        <f t="shared" si="5"/>
        <v>0</v>
      </c>
      <c r="O30" s="482">
        <f t="shared" si="5"/>
        <v>0</v>
      </c>
      <c r="P30" s="484">
        <f t="shared" si="5"/>
        <v>338.28677934580782</v>
      </c>
      <c r="Q30" s="555"/>
    </row>
    <row r="31" spans="1:17" x14ac:dyDescent="0.25">
      <c r="A31" s="57" t="s">
        <v>756</v>
      </c>
      <c r="B31" s="556" t="s">
        <v>815</v>
      </c>
      <c r="C31" s="480" t="s">
        <v>645</v>
      </c>
      <c r="D31" s="481">
        <f>'[2]12'!H28</f>
        <v>122.51939895999999</v>
      </c>
      <c r="E31" s="553">
        <f t="shared" si="4"/>
        <v>18.312731972946636</v>
      </c>
      <c r="F31" s="483">
        <f t="shared" si="5"/>
        <v>0</v>
      </c>
      <c r="G31" s="483">
        <f t="shared" si="5"/>
        <v>0</v>
      </c>
      <c r="H31" s="483">
        <f t="shared" si="5"/>
        <v>0</v>
      </c>
      <c r="I31" s="483">
        <f t="shared" si="5"/>
        <v>0</v>
      </c>
      <c r="J31" s="483">
        <f t="shared" si="5"/>
        <v>0</v>
      </c>
      <c r="K31" s="483">
        <f t="shared" si="5"/>
        <v>0</v>
      </c>
      <c r="L31" s="483">
        <f t="shared" si="5"/>
        <v>0</v>
      </c>
      <c r="M31" s="483">
        <f t="shared" si="5"/>
        <v>18.312731972946636</v>
      </c>
      <c r="N31" s="554">
        <f t="shared" si="5"/>
        <v>0</v>
      </c>
      <c r="O31" s="482">
        <f t="shared" si="5"/>
        <v>0</v>
      </c>
      <c r="P31" s="484">
        <f t="shared" si="5"/>
        <v>104.20666698705335</v>
      </c>
      <c r="Q31" s="555"/>
    </row>
    <row r="32" spans="1:17" x14ac:dyDescent="0.25">
      <c r="A32" s="57" t="s">
        <v>770</v>
      </c>
      <c r="B32" s="556" t="s">
        <v>877</v>
      </c>
      <c r="C32" s="480" t="s">
        <v>645</v>
      </c>
      <c r="D32" s="481">
        <f>'[2]12'!H29</f>
        <v>0.79547104000000002</v>
      </c>
      <c r="E32" s="553">
        <f>SUM(F32:N32)</f>
        <v>0.11889748130838457</v>
      </c>
      <c r="F32" s="483">
        <f t="shared" si="5"/>
        <v>0</v>
      </c>
      <c r="G32" s="483">
        <f t="shared" si="5"/>
        <v>0</v>
      </c>
      <c r="H32" s="483">
        <f t="shared" si="5"/>
        <v>0</v>
      </c>
      <c r="I32" s="483">
        <f t="shared" si="5"/>
        <v>0</v>
      </c>
      <c r="J32" s="483">
        <f t="shared" si="5"/>
        <v>0</v>
      </c>
      <c r="K32" s="483">
        <f t="shared" si="5"/>
        <v>0</v>
      </c>
      <c r="L32" s="483">
        <f t="shared" si="5"/>
        <v>0</v>
      </c>
      <c r="M32" s="483">
        <f t="shared" si="5"/>
        <v>0.11889748130838457</v>
      </c>
      <c r="N32" s="554">
        <f t="shared" si="5"/>
        <v>0</v>
      </c>
      <c r="O32" s="482">
        <f t="shared" si="5"/>
        <v>0</v>
      </c>
      <c r="P32" s="484">
        <f t="shared" si="5"/>
        <v>0.67657355869161551</v>
      </c>
      <c r="Q32" s="555"/>
    </row>
    <row r="33" spans="1:17" x14ac:dyDescent="0.25">
      <c r="A33" s="57" t="s">
        <v>772</v>
      </c>
      <c r="B33" s="556" t="s">
        <v>817</v>
      </c>
      <c r="C33" s="480" t="s">
        <v>645</v>
      </c>
      <c r="D33" s="489">
        <f t="shared" ref="D33:P33" si="6">SUM(D34:D36)</f>
        <v>43.728119999999997</v>
      </c>
      <c r="E33" s="565">
        <f t="shared" si="6"/>
        <v>6.5359555142960302</v>
      </c>
      <c r="F33" s="566">
        <f t="shared" si="6"/>
        <v>0</v>
      </c>
      <c r="G33" s="566">
        <f t="shared" si="6"/>
        <v>0</v>
      </c>
      <c r="H33" s="566">
        <f t="shared" si="6"/>
        <v>0</v>
      </c>
      <c r="I33" s="566">
        <f t="shared" si="6"/>
        <v>0</v>
      </c>
      <c r="J33" s="566">
        <f t="shared" si="6"/>
        <v>0</v>
      </c>
      <c r="K33" s="566">
        <f t="shared" si="6"/>
        <v>0</v>
      </c>
      <c r="L33" s="566">
        <f t="shared" si="6"/>
        <v>0</v>
      </c>
      <c r="M33" s="566">
        <f t="shared" si="6"/>
        <v>6.5359555142960302</v>
      </c>
      <c r="N33" s="567">
        <f t="shared" si="6"/>
        <v>0</v>
      </c>
      <c r="O33" s="568">
        <f t="shared" si="6"/>
        <v>0</v>
      </c>
      <c r="P33" s="569">
        <f t="shared" si="6"/>
        <v>37.192164485703969</v>
      </c>
      <c r="Q33" s="555"/>
    </row>
    <row r="34" spans="1:17" x14ac:dyDescent="0.25">
      <c r="A34" s="57" t="s">
        <v>818</v>
      </c>
      <c r="B34" s="556" t="s">
        <v>878</v>
      </c>
      <c r="C34" s="480" t="s">
        <v>645</v>
      </c>
      <c r="D34" s="488">
        <f>'[2]12'!H48</f>
        <v>3.5441199999999999</v>
      </c>
      <c r="E34" s="553">
        <f t="shared" si="4"/>
        <v>0.52973259900784309</v>
      </c>
      <c r="F34" s="483">
        <f>$D34*F$43/100</f>
        <v>0</v>
      </c>
      <c r="G34" s="483">
        <f t="shared" ref="G34:P34" si="7">$D34*G$43/100</f>
        <v>0</v>
      </c>
      <c r="H34" s="483">
        <f t="shared" si="7"/>
        <v>0</v>
      </c>
      <c r="I34" s="483">
        <f t="shared" si="7"/>
        <v>0</v>
      </c>
      <c r="J34" s="483">
        <f t="shared" si="7"/>
        <v>0</v>
      </c>
      <c r="K34" s="483">
        <f t="shared" si="7"/>
        <v>0</v>
      </c>
      <c r="L34" s="483">
        <f t="shared" si="7"/>
        <v>0</v>
      </c>
      <c r="M34" s="483">
        <f t="shared" si="7"/>
        <v>0.52973259900784309</v>
      </c>
      <c r="N34" s="554">
        <f t="shared" si="7"/>
        <v>0</v>
      </c>
      <c r="O34" s="482">
        <f t="shared" si="7"/>
        <v>0</v>
      </c>
      <c r="P34" s="484">
        <f t="shared" si="7"/>
        <v>3.014387400992157</v>
      </c>
      <c r="Q34" s="555"/>
    </row>
    <row r="35" spans="1:17" x14ac:dyDescent="0.25">
      <c r="A35" s="57" t="s">
        <v>820</v>
      </c>
      <c r="B35" s="556" t="s">
        <v>879</v>
      </c>
      <c r="C35" s="480" t="s">
        <v>645</v>
      </c>
      <c r="D35" s="488">
        <f>'[2]12'!H47</f>
        <v>40.183999999999997</v>
      </c>
      <c r="E35" s="553">
        <f t="shared" si="4"/>
        <v>6.0062229152881867</v>
      </c>
      <c r="F35" s="483">
        <f t="shared" ref="F35:P36" si="8">$D35*F$43/100</f>
        <v>0</v>
      </c>
      <c r="G35" s="483">
        <f t="shared" si="8"/>
        <v>0</v>
      </c>
      <c r="H35" s="483">
        <f t="shared" si="8"/>
        <v>0</v>
      </c>
      <c r="I35" s="483">
        <f t="shared" si="8"/>
        <v>0</v>
      </c>
      <c r="J35" s="483">
        <f t="shared" si="8"/>
        <v>0</v>
      </c>
      <c r="K35" s="483">
        <f t="shared" si="8"/>
        <v>0</v>
      </c>
      <c r="L35" s="483">
        <f t="shared" si="8"/>
        <v>0</v>
      </c>
      <c r="M35" s="483">
        <f t="shared" si="8"/>
        <v>6.0062229152881867</v>
      </c>
      <c r="N35" s="554">
        <f t="shared" si="8"/>
        <v>0</v>
      </c>
      <c r="O35" s="482">
        <f t="shared" si="8"/>
        <v>0</v>
      </c>
      <c r="P35" s="484">
        <f t="shared" si="8"/>
        <v>34.177777084711813</v>
      </c>
      <c r="Q35" s="555"/>
    </row>
    <row r="36" spans="1:17" x14ac:dyDescent="0.25">
      <c r="A36" s="57" t="s">
        <v>822</v>
      </c>
      <c r="B36" s="556" t="s">
        <v>823</v>
      </c>
      <c r="C36" s="480" t="s">
        <v>645</v>
      </c>
      <c r="D36" s="488">
        <f>'[2]12'!H49</f>
        <v>0</v>
      </c>
      <c r="E36" s="553">
        <f>SUM(F36:N36)</f>
        <v>0</v>
      </c>
      <c r="F36" s="483">
        <f t="shared" si="8"/>
        <v>0</v>
      </c>
      <c r="G36" s="483">
        <f t="shared" si="8"/>
        <v>0</v>
      </c>
      <c r="H36" s="483">
        <f t="shared" si="8"/>
        <v>0</v>
      </c>
      <c r="I36" s="483">
        <f t="shared" si="8"/>
        <v>0</v>
      </c>
      <c r="J36" s="483">
        <f t="shared" si="8"/>
        <v>0</v>
      </c>
      <c r="K36" s="483">
        <f t="shared" si="8"/>
        <v>0</v>
      </c>
      <c r="L36" s="483">
        <f t="shared" si="8"/>
        <v>0</v>
      </c>
      <c r="M36" s="483">
        <f t="shared" si="8"/>
        <v>0</v>
      </c>
      <c r="N36" s="554">
        <f t="shared" si="8"/>
        <v>0</v>
      </c>
      <c r="O36" s="482">
        <f t="shared" si="8"/>
        <v>0</v>
      </c>
      <c r="P36" s="484">
        <f t="shared" si="8"/>
        <v>0</v>
      </c>
      <c r="Q36" s="555"/>
    </row>
    <row r="37" spans="1:17" x14ac:dyDescent="0.25">
      <c r="A37" s="57" t="s">
        <v>824</v>
      </c>
      <c r="B37" s="556" t="s">
        <v>825</v>
      </c>
      <c r="C37" s="480" t="s">
        <v>645</v>
      </c>
      <c r="D37" s="489">
        <f>SUM(D38:D42)</f>
        <v>95.634289999999993</v>
      </c>
      <c r="E37" s="565">
        <f t="shared" ref="E37:P37" si="9">SUM(E38:E42)</f>
        <v>14.294267969473317</v>
      </c>
      <c r="F37" s="570">
        <f t="shared" si="9"/>
        <v>0</v>
      </c>
      <c r="G37" s="570">
        <f t="shared" si="9"/>
        <v>0</v>
      </c>
      <c r="H37" s="570">
        <f t="shared" si="9"/>
        <v>0</v>
      </c>
      <c r="I37" s="570">
        <f t="shared" si="9"/>
        <v>0</v>
      </c>
      <c r="J37" s="570">
        <f t="shared" si="9"/>
        <v>0</v>
      </c>
      <c r="K37" s="570">
        <f t="shared" si="9"/>
        <v>0</v>
      </c>
      <c r="L37" s="570">
        <f t="shared" si="9"/>
        <v>0</v>
      </c>
      <c r="M37" s="570">
        <f t="shared" si="9"/>
        <v>14.294267969473317</v>
      </c>
      <c r="N37" s="567">
        <f t="shared" si="9"/>
        <v>0</v>
      </c>
      <c r="O37" s="568">
        <f t="shared" si="9"/>
        <v>0</v>
      </c>
      <c r="P37" s="569">
        <f t="shared" si="9"/>
        <v>81.340022030526683</v>
      </c>
      <c r="Q37" s="555"/>
    </row>
    <row r="38" spans="1:17" x14ac:dyDescent="0.25">
      <c r="A38" s="57" t="s">
        <v>826</v>
      </c>
      <c r="B38" s="556" t="s">
        <v>880</v>
      </c>
      <c r="C38" s="480" t="s">
        <v>645</v>
      </c>
      <c r="D38" s="488">
        <f>'[2]12'!H31</f>
        <v>20.938599999999997</v>
      </c>
      <c r="E38" s="553">
        <f>SUM(F38:N38)</f>
        <v>3.1296510833678384</v>
      </c>
      <c r="F38" s="483">
        <f>$D38*F$43/100</f>
        <v>0</v>
      </c>
      <c r="G38" s="483">
        <f t="shared" ref="G38:P38" si="10">$D38*G$43/100</f>
        <v>0</v>
      </c>
      <c r="H38" s="483">
        <f t="shared" si="10"/>
        <v>0</v>
      </c>
      <c r="I38" s="483">
        <f t="shared" si="10"/>
        <v>0</v>
      </c>
      <c r="J38" s="483">
        <f t="shared" si="10"/>
        <v>0</v>
      </c>
      <c r="K38" s="483">
        <f t="shared" si="10"/>
        <v>0</v>
      </c>
      <c r="L38" s="483">
        <f t="shared" si="10"/>
        <v>0</v>
      </c>
      <c r="M38" s="483">
        <f t="shared" si="10"/>
        <v>3.1296510833678384</v>
      </c>
      <c r="N38" s="554">
        <f t="shared" si="10"/>
        <v>0</v>
      </c>
      <c r="O38" s="482">
        <f t="shared" si="10"/>
        <v>0</v>
      </c>
      <c r="P38" s="484">
        <f t="shared" si="10"/>
        <v>17.808948916632161</v>
      </c>
      <c r="Q38" s="555"/>
    </row>
    <row r="39" spans="1:17" x14ac:dyDescent="0.25">
      <c r="A39" s="57" t="s">
        <v>828</v>
      </c>
      <c r="B39" s="571" t="s">
        <v>881</v>
      </c>
      <c r="C39" s="480" t="s">
        <v>645</v>
      </c>
      <c r="D39" s="488">
        <f>'[2]12'!H42</f>
        <v>0</v>
      </c>
      <c r="E39" s="553">
        <f t="shared" ref="E39:E43" si="11">SUM(F39:N39)</f>
        <v>0</v>
      </c>
      <c r="F39" s="483">
        <f t="shared" ref="F39:P42" si="12">$D39*F$43/100</f>
        <v>0</v>
      </c>
      <c r="G39" s="483">
        <f t="shared" si="12"/>
        <v>0</v>
      </c>
      <c r="H39" s="483">
        <f t="shared" si="12"/>
        <v>0</v>
      </c>
      <c r="I39" s="483">
        <f t="shared" si="12"/>
        <v>0</v>
      </c>
      <c r="J39" s="483">
        <f t="shared" si="12"/>
        <v>0</v>
      </c>
      <c r="K39" s="483">
        <f t="shared" si="12"/>
        <v>0</v>
      </c>
      <c r="L39" s="483">
        <f t="shared" si="12"/>
        <v>0</v>
      </c>
      <c r="M39" s="483">
        <f t="shared" si="12"/>
        <v>0</v>
      </c>
      <c r="N39" s="554">
        <f t="shared" si="12"/>
        <v>0</v>
      </c>
      <c r="O39" s="482">
        <f t="shared" si="12"/>
        <v>0</v>
      </c>
      <c r="P39" s="484">
        <f t="shared" si="12"/>
        <v>0</v>
      </c>
      <c r="Q39" s="555"/>
    </row>
    <row r="40" spans="1:17" x14ac:dyDescent="0.25">
      <c r="A40" s="57" t="s">
        <v>830</v>
      </c>
      <c r="B40" s="556" t="s">
        <v>882</v>
      </c>
      <c r="C40" s="480" t="s">
        <v>645</v>
      </c>
      <c r="D40" s="488">
        <f>'[2]12'!H43</f>
        <v>2.3005999999999998</v>
      </c>
      <c r="E40" s="553">
        <f t="shared" si="11"/>
        <v>0.34386612678956802</v>
      </c>
      <c r="F40" s="483">
        <f t="shared" si="12"/>
        <v>0</v>
      </c>
      <c r="G40" s="483">
        <f t="shared" si="12"/>
        <v>0</v>
      </c>
      <c r="H40" s="483">
        <f t="shared" si="12"/>
        <v>0</v>
      </c>
      <c r="I40" s="483">
        <f t="shared" si="12"/>
        <v>0</v>
      </c>
      <c r="J40" s="483">
        <f t="shared" si="12"/>
        <v>0</v>
      </c>
      <c r="K40" s="483">
        <f t="shared" si="12"/>
        <v>0</v>
      </c>
      <c r="L40" s="483">
        <f t="shared" si="12"/>
        <v>0</v>
      </c>
      <c r="M40" s="483">
        <f t="shared" si="12"/>
        <v>0.34386612678956802</v>
      </c>
      <c r="N40" s="554">
        <f t="shared" si="12"/>
        <v>0</v>
      </c>
      <c r="O40" s="482">
        <f t="shared" si="12"/>
        <v>0</v>
      </c>
      <c r="P40" s="484">
        <f t="shared" si="12"/>
        <v>1.956733873210432</v>
      </c>
      <c r="Q40" s="555"/>
    </row>
    <row r="41" spans="1:17" x14ac:dyDescent="0.25">
      <c r="A41" s="147" t="s">
        <v>832</v>
      </c>
      <c r="B41" s="572" t="s">
        <v>883</v>
      </c>
      <c r="C41" s="480" t="s">
        <v>645</v>
      </c>
      <c r="D41" s="573">
        <f>'[2]12'!H44</f>
        <v>20.030989999999999</v>
      </c>
      <c r="E41" s="553">
        <f t="shared" si="11"/>
        <v>2.993992413744488</v>
      </c>
      <c r="F41" s="483">
        <f t="shared" si="12"/>
        <v>0</v>
      </c>
      <c r="G41" s="483">
        <f t="shared" si="12"/>
        <v>0</v>
      </c>
      <c r="H41" s="483">
        <f t="shared" si="12"/>
        <v>0</v>
      </c>
      <c r="I41" s="483">
        <f t="shared" si="12"/>
        <v>0</v>
      </c>
      <c r="J41" s="483">
        <f t="shared" si="12"/>
        <v>0</v>
      </c>
      <c r="K41" s="483">
        <f t="shared" si="12"/>
        <v>0</v>
      </c>
      <c r="L41" s="483">
        <f t="shared" si="12"/>
        <v>0</v>
      </c>
      <c r="M41" s="483">
        <f t="shared" si="12"/>
        <v>2.993992413744488</v>
      </c>
      <c r="N41" s="554">
        <f t="shared" si="12"/>
        <v>0</v>
      </c>
      <c r="O41" s="482">
        <f t="shared" si="12"/>
        <v>0</v>
      </c>
      <c r="P41" s="484">
        <f t="shared" si="12"/>
        <v>17.036997586255513</v>
      </c>
      <c r="Q41" s="574"/>
    </row>
    <row r="42" spans="1:17" ht="25.5" x14ac:dyDescent="0.25">
      <c r="A42" s="147" t="s">
        <v>884</v>
      </c>
      <c r="B42" s="572" t="s">
        <v>885</v>
      </c>
      <c r="C42" s="480" t="s">
        <v>645</v>
      </c>
      <c r="D42" s="573">
        <f>'[2]12'!H45</f>
        <v>52.364099999999993</v>
      </c>
      <c r="E42" s="553">
        <f t="shared" si="11"/>
        <v>7.8267583455714238</v>
      </c>
      <c r="F42" s="483">
        <f t="shared" si="12"/>
        <v>0</v>
      </c>
      <c r="G42" s="483">
        <f t="shared" si="12"/>
        <v>0</v>
      </c>
      <c r="H42" s="483">
        <f t="shared" si="12"/>
        <v>0</v>
      </c>
      <c r="I42" s="483">
        <f t="shared" si="12"/>
        <v>0</v>
      </c>
      <c r="J42" s="483">
        <f t="shared" si="12"/>
        <v>0</v>
      </c>
      <c r="K42" s="483">
        <f t="shared" si="12"/>
        <v>0</v>
      </c>
      <c r="L42" s="483">
        <f t="shared" si="12"/>
        <v>0</v>
      </c>
      <c r="M42" s="483">
        <f t="shared" si="12"/>
        <v>7.8267583455714238</v>
      </c>
      <c r="N42" s="554">
        <f t="shared" si="12"/>
        <v>0</v>
      </c>
      <c r="O42" s="482">
        <f t="shared" si="12"/>
        <v>0</v>
      </c>
      <c r="P42" s="484">
        <f t="shared" si="12"/>
        <v>44.537341654428573</v>
      </c>
      <c r="Q42" s="574"/>
    </row>
    <row r="43" spans="1:17" ht="26.25" thickBot="1" x14ac:dyDescent="0.3">
      <c r="A43" s="104" t="s">
        <v>351</v>
      </c>
      <c r="B43" s="575" t="s">
        <v>886</v>
      </c>
      <c r="C43" s="454" t="s">
        <v>835</v>
      </c>
      <c r="D43" s="106">
        <f>SUM(E43,O43,P43)</f>
        <v>100.00000000000001</v>
      </c>
      <c r="E43" s="576">
        <f t="shared" si="11"/>
        <v>14.946801999024952</v>
      </c>
      <c r="F43" s="577">
        <f>'Forma 3'!VAS003_F_TiesioginiuIrNetiesioginiuIApskaitosVeikla</f>
        <v>0</v>
      </c>
      <c r="G43" s="577">
        <f>'Forma 3'!VAS003_F_TiesioginiuIrNetiesioginiuII1gavyba</f>
        <v>0</v>
      </c>
      <c r="H43" s="577">
        <f>'Forma 3'!VAS003_F_TiesioginiuIrNetiesioginiuII2ruosimas</f>
        <v>0</v>
      </c>
      <c r="I43" s="577">
        <f>'Forma 3'!VAS003_F_TiesioginiuIrNetiesioginiuII3pristatymas</f>
        <v>0</v>
      </c>
      <c r="J43" s="577">
        <f>'Forma 3'!VAS003_F_TiesioginiuIrNetiesioginiuIII1surinkimas</f>
        <v>0</v>
      </c>
      <c r="K43" s="577">
        <f>'Forma 3'!VAS003_F_TiesioginiuIrNetiesioginiuIII2valymas</f>
        <v>0</v>
      </c>
      <c r="L43" s="577">
        <f>'Forma 3'!VAS003_F_TiesioginiuIrNetiesioginiuIII3nuotekuDumblo</f>
        <v>0</v>
      </c>
      <c r="M43" s="577">
        <f>'Forma 3'!VAS003_F_TiesioginiuIrNetiesioginiuIII4PavirsiniuNuoteku</f>
        <v>14.946801999024952</v>
      </c>
      <c r="N43" s="578">
        <f>'Forma 3'!VAS003_F_TiesioginiuIrNetiesioginiuIII5NuotekuTransportavimas</f>
        <v>0</v>
      </c>
      <c r="O43" s="579">
        <f>'Forma 3'!VAS003_F_TiesioginiuIrNetiesioginiuVIKitosReguliuojamos</f>
        <v>0</v>
      </c>
      <c r="P43" s="580">
        <f>'Forma 3'!VAS003_F_TiesioginiuIrNetiesioginiuVIIKitosVeiklos</f>
        <v>85.053198000975058</v>
      </c>
      <c r="Q43" s="581" t="s">
        <v>887</v>
      </c>
    </row>
    <row r="44" spans="1:17" x14ac:dyDescent="0.25">
      <c r="A44" s="459"/>
      <c r="B44" s="523"/>
      <c r="C44" s="524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462"/>
    </row>
    <row r="45" spans="1:17" x14ac:dyDescent="0.25">
      <c r="A45" s="582"/>
      <c r="B45" s="583"/>
      <c r="C45" s="584"/>
      <c r="D45" s="585"/>
      <c r="E45" s="585"/>
      <c r="F45" s="585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37"/>
    </row>
    <row r="46" spans="1:17" x14ac:dyDescent="0.25">
      <c r="A46" s="535"/>
      <c r="B46" s="536"/>
      <c r="C46" s="536"/>
      <c r="D46" s="536"/>
      <c r="E46" s="536"/>
      <c r="F46" s="536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</row>
    <row r="47" spans="1:17" x14ac:dyDescent="0.25">
      <c r="A47" s="535"/>
      <c r="B47" s="536"/>
      <c r="C47" s="536"/>
      <c r="D47" s="536"/>
      <c r="E47" s="536"/>
      <c r="F47" s="536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</row>
    <row r="48" spans="1:17" x14ac:dyDescent="0.25">
      <c r="A48" s="535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</row>
    <row r="49" spans="1:17" x14ac:dyDescent="0.25">
      <c r="A49" s="535"/>
      <c r="B49" s="536"/>
      <c r="C49" s="536"/>
      <c r="D49" s="536"/>
      <c r="E49" s="536"/>
      <c r="F49" s="536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</row>
  </sheetData>
  <sheetProtection algorithmName="SHA-512" hashValue="bKptmSNCskmYndkfov8mqQah7FGBRjYQUyeVLOmIMCx2EokXlgsc1hPRVv8Az701vqjCZRLP+Mhck88IdpssNA==" saltValue="FwHqPYGokTynojOUAfkBdBXSmua4SnreqLdljb4xO+IPO7cI3yXpxO0hsXtPYHvV4peT5L771FtwZ4Lb7pisTA==" spinCount="100000" sheet="1" objects="1" scenarios="1"/>
  <mergeCells count="17"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10736</vt:i4>
      </vt:variant>
    </vt:vector>
  </HeadingPairs>
  <TitlesOfParts>
    <vt:vector size="10752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2'!VAS002_D_YPATINGOJIVEIKLA</vt:lpstr>
      <vt:lpstr>VAS002_D_YPATINGOJIVEIKLA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2'!VAS002_F_YPATINGOJIVEIKLA20M</vt:lpstr>
      <vt:lpstr>VAS002_F_YPATINGOJIVEIKLA20M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5'!VAS005_D_GreziniuoseInstaliuotuSiurbliu</vt:lpstr>
      <vt:lpstr>VAS005_D_GreziniuoseInstaliuotuSiurbliu</vt:lpstr>
      <vt:lpstr>'Forma 5'!VAS005_D_GYVENTOJUSKAICIUSAPTARNAUJAMOJE</vt:lpstr>
      <vt:lpstr>VAS005_D_GYVENTOJUSKAICIUSAPTARNAUJAMOJE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5'!VAS005_D_VandentiekyjeLikviduotuAvariju</vt:lpstr>
      <vt:lpstr>VAS005_D_VandentiekyjeLikviduotuAvariju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5'!VAS005_F_GreziniuoseInstaliuotuSiurbliu20M</vt:lpstr>
      <vt:lpstr>VAS005_F_GreziniuoseInstaliuotuSiurbliu20M</vt:lpstr>
      <vt:lpstr>'Forma 5'!VAS005_F_GYVENTOJUSKAICIUSAPTARNAUJAMOJE20M</vt:lpstr>
      <vt:lpstr>VAS005_F_GYVENTOJUSKAICIUSAPTARNAUJAMOJE20M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5'!VAS005_F_VandentiekyjeLikviduotuAvariju20M</vt:lpstr>
      <vt:lpstr>VAS005_F_VandentiekyjeLikviduotuAvariju20M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Windows User</cp:lastModifiedBy>
  <cp:lastPrinted>2019-08-16T06:01:27Z</cp:lastPrinted>
  <dcterms:created xsi:type="dcterms:W3CDTF">2018-12-28T11:00:39Z</dcterms:created>
  <dcterms:modified xsi:type="dcterms:W3CDTF">2020-01-21T11:04:22Z</dcterms:modified>
</cp:coreProperties>
</file>